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defaultThemeVersion="166925"/>
  <mc:AlternateContent xmlns:mc="http://schemas.openxmlformats.org/markup-compatibility/2006">
    <mc:Choice Requires="x15">
      <x15ac:absPath xmlns:x15ac="http://schemas.microsoft.com/office/spreadsheetml/2010/11/ac" url="C:\Users\cristina.restrepo\Downloads\"/>
    </mc:Choice>
  </mc:AlternateContent>
  <xr:revisionPtr revIDLastSave="0" documentId="8_{E6FDA3C8-9FA7-4357-898C-DFFD676A099F}" xr6:coauthVersionLast="47" xr6:coauthVersionMax="47" xr10:uidLastSave="{00000000-0000-0000-0000-000000000000}"/>
  <bookViews>
    <workbookView xWindow="-120" yWindow="-120" windowWidth="20730" windowHeight="11040" tabRatio="789" activeTab="3" xr2:uid="{00000000-000D-0000-FFFF-FFFF00000000}"/>
  </bookViews>
  <sheets>
    <sheet name="Personal fijo" sheetId="10" r:id="rId1"/>
    <sheet name="Personal Eventual" sheetId="2" r:id="rId2"/>
    <sheet name="Alquiler Maquinaria" sheetId="12" r:id="rId3"/>
    <sheet name="Valores Agregados" sheetId="13" r:id="rId4"/>
  </sheets>
  <definedNames>
    <definedName name="_xlnm.Print_Area" localSheetId="1">'Personal Eventual'!$B$2:$F$9</definedName>
    <definedName name="_xlnm.Print_Area" localSheetId="0">'Personal fijo'!$A$30:$S$61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 i="12" l="1"/>
  <c r="E7" i="12"/>
  <c r="E6" i="12"/>
  <c r="E5" i="12"/>
  <c r="E4" i="12"/>
  <c r="E3" i="12"/>
  <c r="E9" i="12" s="1"/>
  <c r="F6" i="2"/>
  <c r="E6" i="2"/>
  <c r="D6" i="2"/>
  <c r="E5" i="2"/>
  <c r="D7" i="2"/>
  <c r="D8" i="2" s="1"/>
  <c r="F8" i="2" l="1"/>
  <c r="F7" i="2"/>
  <c r="E7" i="2"/>
  <c r="E8" i="2" s="1"/>
  <c r="G48" i="10" l="1"/>
  <c r="C48" i="10"/>
  <c r="M47" i="10"/>
  <c r="I47" i="10"/>
  <c r="C47" i="10"/>
  <c r="C46" i="10"/>
  <c r="C45" i="10"/>
  <c r="Q43" i="10"/>
  <c r="E43" i="10"/>
  <c r="C43" i="10"/>
  <c r="C42" i="10"/>
  <c r="B39" i="10"/>
  <c r="C41" i="10" s="1"/>
  <c r="E38" i="10"/>
  <c r="G38" i="10" s="1"/>
  <c r="I38" i="10" s="1"/>
  <c r="S37" i="10"/>
  <c r="S48" i="10" s="1"/>
  <c r="Q37" i="10"/>
  <c r="Q48" i="10" s="1"/>
  <c r="O37" i="10"/>
  <c r="O43" i="10" s="1"/>
  <c r="M37" i="10"/>
  <c r="M43" i="10" s="1"/>
  <c r="K37" i="10"/>
  <c r="K45" i="10" s="1"/>
  <c r="I37" i="10"/>
  <c r="I43" i="10" s="1"/>
  <c r="G37" i="10"/>
  <c r="G47" i="10" s="1"/>
  <c r="E37" i="10"/>
  <c r="E48" i="10" s="1"/>
  <c r="M18" i="10"/>
  <c r="C18" i="10"/>
  <c r="O17" i="10"/>
  <c r="C17" i="10"/>
  <c r="C16" i="10"/>
  <c r="S15" i="10"/>
  <c r="O15" i="10"/>
  <c r="C15" i="10"/>
  <c r="C14" i="10"/>
  <c r="C13" i="10"/>
  <c r="C11" i="10"/>
  <c r="B7" i="10"/>
  <c r="E6" i="10"/>
  <c r="G6" i="10" s="1"/>
  <c r="I6" i="10" s="1"/>
  <c r="K6" i="10" s="1"/>
  <c r="M6" i="10" s="1"/>
  <c r="O6" i="10" s="1"/>
  <c r="S5" i="10"/>
  <c r="S11" i="10" s="1"/>
  <c r="Q5" i="10"/>
  <c r="Q13" i="10" s="1"/>
  <c r="O5" i="10"/>
  <c r="O14" i="10" s="1"/>
  <c r="M5" i="10"/>
  <c r="M15" i="10" s="1"/>
  <c r="K5" i="10"/>
  <c r="K16" i="10" s="1"/>
  <c r="I5" i="10"/>
  <c r="I46" i="10" s="1"/>
  <c r="G5" i="10"/>
  <c r="G18" i="10" s="1"/>
  <c r="E5" i="10"/>
  <c r="E11" i="10" s="1"/>
  <c r="B51" i="10" l="1"/>
  <c r="M45" i="10"/>
  <c r="Q45" i="10"/>
  <c r="B19" i="10"/>
  <c r="M16" i="10"/>
  <c r="I18" i="10"/>
  <c r="K11" i="10"/>
  <c r="G13" i="10"/>
  <c r="O46" i="10"/>
  <c r="G11" i="10"/>
  <c r="S13" i="10"/>
  <c r="K17" i="10"/>
  <c r="N7" i="10"/>
  <c r="Q6" i="10"/>
  <c r="S6" i="10" s="1"/>
  <c r="R7" i="10" s="1"/>
  <c r="K38" i="10"/>
  <c r="M38" i="10" s="1"/>
  <c r="H39" i="10"/>
  <c r="K46" i="10"/>
  <c r="I11" i="10"/>
  <c r="E13" i="10"/>
  <c r="S14" i="10"/>
  <c r="Q15" i="10"/>
  <c r="O16" i="10"/>
  <c r="M17" i="10"/>
  <c r="K18" i="10"/>
  <c r="S43" i="10"/>
  <c r="O45" i="10"/>
  <c r="M46" i="10"/>
  <c r="K47" i="10"/>
  <c r="I48" i="10"/>
  <c r="Q14" i="10"/>
  <c r="E14" i="10"/>
  <c r="K48" i="10"/>
  <c r="D7" i="10"/>
  <c r="C8" i="10"/>
  <c r="M11" i="10"/>
  <c r="I13" i="10"/>
  <c r="G14" i="10"/>
  <c r="E15" i="10"/>
  <c r="S16" i="10"/>
  <c r="Q17" i="10"/>
  <c r="O18" i="10"/>
  <c r="G43" i="10"/>
  <c r="S45" i="10"/>
  <c r="Q46" i="10"/>
  <c r="O47" i="10"/>
  <c r="M48" i="10"/>
  <c r="L51" i="10" s="1"/>
  <c r="F7" i="10"/>
  <c r="C9" i="10"/>
  <c r="O11" i="10"/>
  <c r="K13" i="10"/>
  <c r="I14" i="10"/>
  <c r="G15" i="10"/>
  <c r="E16" i="10"/>
  <c r="S17" i="10"/>
  <c r="Q18" i="10"/>
  <c r="E45" i="10"/>
  <c r="S46" i="10"/>
  <c r="Q47" i="10"/>
  <c r="O48" i="10"/>
  <c r="H7" i="10"/>
  <c r="C10" i="10"/>
  <c r="Q11" i="10"/>
  <c r="M13" i="10"/>
  <c r="K14" i="10"/>
  <c r="I15" i="10"/>
  <c r="G16" i="10"/>
  <c r="E17" i="10"/>
  <c r="S18" i="10"/>
  <c r="K43" i="10"/>
  <c r="G45" i="10"/>
  <c r="F51" i="10" s="1"/>
  <c r="E46" i="10"/>
  <c r="S47" i="10"/>
  <c r="Q16" i="10"/>
  <c r="J7" i="10"/>
  <c r="O13" i="10"/>
  <c r="M14" i="10"/>
  <c r="K15" i="10"/>
  <c r="I16" i="10"/>
  <c r="G17" i="10"/>
  <c r="E18" i="10"/>
  <c r="D39" i="10"/>
  <c r="C40" i="10"/>
  <c r="B44" i="10" s="1"/>
  <c r="B52" i="10" s="1"/>
  <c r="B54" i="10" s="1"/>
  <c r="I45" i="10"/>
  <c r="G46" i="10"/>
  <c r="E47" i="10"/>
  <c r="L7" i="10"/>
  <c r="I17" i="10"/>
  <c r="F39" i="10"/>
  <c r="P19" i="10" l="1"/>
  <c r="H19" i="10"/>
  <c r="R19" i="10"/>
  <c r="H51" i="10"/>
  <c r="N19" i="10"/>
  <c r="R51" i="10"/>
  <c r="P51" i="10"/>
  <c r="J19" i="10"/>
  <c r="B12" i="10"/>
  <c r="B20" i="10" s="1"/>
  <c r="B22" i="10" s="1"/>
  <c r="J51" i="10"/>
  <c r="G42" i="10"/>
  <c r="G40" i="10"/>
  <c r="G41" i="10"/>
  <c r="S10" i="10"/>
  <c r="S9" i="10"/>
  <c r="S8" i="10"/>
  <c r="D51" i="10"/>
  <c r="N51" i="10"/>
  <c r="M8" i="10"/>
  <c r="M10" i="10"/>
  <c r="M9" i="10"/>
  <c r="L19" i="10"/>
  <c r="E10" i="10"/>
  <c r="E9" i="10"/>
  <c r="E8" i="10"/>
  <c r="E40" i="10"/>
  <c r="E41" i="10"/>
  <c r="E42" i="10"/>
  <c r="D19" i="10"/>
  <c r="G10" i="10"/>
  <c r="G9" i="10"/>
  <c r="G8" i="10"/>
  <c r="J39" i="10"/>
  <c r="P7" i="10"/>
  <c r="O42" i="10"/>
  <c r="O41" i="10"/>
  <c r="O9" i="10"/>
  <c r="O10" i="10"/>
  <c r="O8" i="10"/>
  <c r="O38" i="10"/>
  <c r="L39" i="10"/>
  <c r="I9" i="10"/>
  <c r="I8" i="10"/>
  <c r="I10" i="10"/>
  <c r="K8" i="10"/>
  <c r="K9" i="10"/>
  <c r="K10" i="10"/>
  <c r="F19" i="10"/>
  <c r="I41" i="10"/>
  <c r="I42" i="10"/>
  <c r="I40" i="10"/>
  <c r="D9" i="2"/>
  <c r="F12" i="10" l="1"/>
  <c r="F20" i="10" s="1"/>
  <c r="F22" i="10" s="1"/>
  <c r="D12" i="10"/>
  <c r="D20" i="10" s="1"/>
  <c r="D22" i="10" s="1"/>
  <c r="K42" i="10"/>
  <c r="K41" i="10"/>
  <c r="K40" i="10"/>
  <c r="J44" i="10" s="1"/>
  <c r="J52" i="10" s="1"/>
  <c r="J54" i="10" s="1"/>
  <c r="H44" i="10"/>
  <c r="H52" i="10" s="1"/>
  <c r="H54" i="10" s="1"/>
  <c r="J12" i="10"/>
  <c r="J20" i="10" s="1"/>
  <c r="J22" i="10" s="1"/>
  <c r="N12" i="10"/>
  <c r="N20" i="10" s="1"/>
  <c r="N22" i="10" s="1"/>
  <c r="D44" i="10"/>
  <c r="D52" i="10" s="1"/>
  <c r="D54" i="10" s="1"/>
  <c r="Q8" i="10"/>
  <c r="Q10" i="10"/>
  <c r="Q9" i="10"/>
  <c r="Q38" i="10"/>
  <c r="N39" i="10"/>
  <c r="L12" i="10"/>
  <c r="L20" i="10" s="1"/>
  <c r="L22" i="10" s="1"/>
  <c r="F44" i="10"/>
  <c r="F52" i="10" s="1"/>
  <c r="F54" i="10" s="1"/>
  <c r="M42" i="10"/>
  <c r="M41" i="10"/>
  <c r="M40" i="10"/>
  <c r="L44" i="10" s="1"/>
  <c r="L52" i="10" s="1"/>
  <c r="L54" i="10" s="1"/>
  <c r="H12" i="10"/>
  <c r="H20" i="10" s="1"/>
  <c r="H22" i="10" s="1"/>
  <c r="R12" i="10"/>
  <c r="R20" i="10" s="1"/>
  <c r="R22" i="10" s="1"/>
  <c r="S38" i="10" l="1"/>
  <c r="R39" i="10" s="1"/>
  <c r="P39" i="10"/>
  <c r="P12" i="10"/>
  <c r="P20" i="10" s="1"/>
  <c r="P22" i="10" s="1"/>
  <c r="B23" i="10" s="1"/>
  <c r="O40" i="10"/>
  <c r="N44" i="10" s="1"/>
  <c r="N52" i="10" s="1"/>
  <c r="N54" i="10" s="1"/>
  <c r="B26" i="10" l="1"/>
  <c r="B27" i="10" s="1"/>
  <c r="Q42" i="10"/>
  <c r="Q41" i="10"/>
  <c r="Q40" i="10"/>
  <c r="P44" i="10" s="1"/>
  <c r="P52" i="10" s="1"/>
  <c r="P54" i="10" s="1"/>
  <c r="S41" i="10"/>
  <c r="S40" i="10"/>
  <c r="S42" i="10"/>
  <c r="R44" i="10" l="1"/>
  <c r="R52" i="10" s="1"/>
  <c r="R54" i="10" s="1"/>
  <c r="B55" i="10" s="1"/>
  <c r="B28" i="10"/>
  <c r="B58" i="10" l="1"/>
  <c r="B59" i="10" s="1"/>
  <c r="B60" i="10" l="1"/>
</calcChain>
</file>

<file path=xl/sharedStrings.xml><?xml version="1.0" encoding="utf-8"?>
<sst xmlns="http://schemas.openxmlformats.org/spreadsheetml/2006/main" count="164" uniqueCount="76">
  <si>
    <t>OPCIÓN 1 - PERSONAL PARA INSTALACIONES PLAZA MAYOR CON TODOS LOS APORTES</t>
  </si>
  <si>
    <t>Personal de aseo</t>
  </si>
  <si>
    <t>Mantenimiento obras blanca, obra gris y plomería con alturas</t>
  </si>
  <si>
    <t>Mantenimiento eléctrico con alturas</t>
  </si>
  <si>
    <t>Cafetería</t>
  </si>
  <si>
    <t>Supervisores con alturas</t>
  </si>
  <si>
    <t>CONCEPTO</t>
  </si>
  <si>
    <t>%</t>
  </si>
  <si>
    <t>VALOR</t>
  </si>
  <si>
    <t>SALARIO</t>
  </si>
  <si>
    <t>AUXILIO TRANSPORTE</t>
  </si>
  <si>
    <t>TOTAL SALARIOS</t>
  </si>
  <si>
    <t>CESANTIAS</t>
  </si>
  <si>
    <t>PRIMA DE SERVICIOS</t>
  </si>
  <si>
    <t>INTERESES A LAS CESANTIAS</t>
  </si>
  <si>
    <t>VACACIONES</t>
  </si>
  <si>
    <t>SUBTOTAL</t>
  </si>
  <si>
    <t>SALUD</t>
  </si>
  <si>
    <t>PENSIONES</t>
  </si>
  <si>
    <t>A.R.L</t>
  </si>
  <si>
    <t>CAJA DE COMPENSACION</t>
  </si>
  <si>
    <t>ICBF</t>
  </si>
  <si>
    <t>SENA</t>
  </si>
  <si>
    <t>SUBTOTAL COSTO UNITARIO</t>
  </si>
  <si>
    <t>NUMERO DE PERSONAS</t>
  </si>
  <si>
    <t>TOTAL COSTO LABORAL POR NUMERO DE PERSONAS</t>
  </si>
  <si>
    <t xml:space="preserve"> SUB TOTAL MENSUAL BASE</t>
  </si>
  <si>
    <t>INDICAR % ADMINISTRACIÓN (A)</t>
  </si>
  <si>
    <t>INDICAR % UTILIDAD (U)</t>
  </si>
  <si>
    <t>TOTAL AU</t>
  </si>
  <si>
    <t>IVA SOBRE EL AU</t>
  </si>
  <si>
    <t>TOTAL MENSUAL IVA INCLUIDO</t>
  </si>
  <si>
    <t>formato 4. Personal fijo</t>
  </si>
  <si>
    <t>DESCRIPCIÓN</t>
  </si>
  <si>
    <t>SUPERVISOR SIN ALTURAS</t>
  </si>
  <si>
    <t>CANTIDAD</t>
  </si>
  <si>
    <t>Almacenista con alturas</t>
  </si>
  <si>
    <t>Scruber, Máquina limpiadora de pisos, hombre abordo</t>
  </si>
  <si>
    <t>CAFETERÍA</t>
  </si>
  <si>
    <t>OPCIÓN 2- PERSONAL PARA INSTALACIONES PLAZA MAYOR CON BENEFICIO POR LEY 1819 DE 2016</t>
  </si>
  <si>
    <t>Personal de aseo (manejo de residuos)</t>
  </si>
  <si>
    <t>Personal de logística con alturas</t>
  </si>
  <si>
    <t>Aseo medio tiempo (Bogotá)</t>
  </si>
  <si>
    <t>PERSONAL DE ASEO CON ALTURAS
VALOR TURNO INCLUIDO IVA Y AU</t>
  </si>
  <si>
    <t>PERSONAL EVENTUAL</t>
  </si>
  <si>
    <t>Turno ordinario Diurno</t>
  </si>
  <si>
    <t>AU (No podrá superar el 11%)</t>
  </si>
  <si>
    <t>IVA sobre el AU</t>
  </si>
  <si>
    <t>TOTAL  OFERTADO</t>
  </si>
  <si>
    <t>Nota: diligenciar únicamente la celda color amarillo</t>
  </si>
  <si>
    <t>TOTAL FACTOR PERSONAL EVENTUAL</t>
  </si>
  <si>
    <t>ITEM</t>
  </si>
  <si>
    <t>ESPECIFICACIONES</t>
  </si>
  <si>
    <t>VALOR UNITARIO MES IVA INCLUIDO</t>
  </si>
  <si>
    <t>VALOR TOTAL MES IVA INCLUIDO</t>
  </si>
  <si>
    <t>Papelera</t>
  </si>
  <si>
    <t>Papelera plastica capacidad 120 litros color negro marcada residuos ordinarios</t>
  </si>
  <si>
    <t>Papelera plastica capacidad 120 litros color blanca marcada residuos reciclables</t>
  </si>
  <si>
    <t>Papelera Plastica capacidad 120 litros color verde marcada residuos organicos</t>
  </si>
  <si>
    <t>Aspiradora seco / húmedo</t>
  </si>
  <si>
    <t>Aspiradora de uso industrial, con capacidad  de deposito de 70 litros ,potencia absorbida  2300 W,potencia de turbina 1950 WVoltaje 110V, filtro de cartucho, boquilla barredora seco/humedo ,manquera desague.</t>
  </si>
  <si>
    <t>Hidro lavadora</t>
  </si>
  <si>
    <t>Hidrolavadora industrial ,presion agua fria, presion de trabajo maxima PSI 2,600 caudal 590, potencia de conexión 2,9 (Km),pistola de pulverizacion manual,EATSY!FORCE, boquilla triple,electriva voltaje 220 v, como accesorio adicional debe tener eztension electrica sin clavija.</t>
  </si>
  <si>
    <t xml:space="preserve">Este equipo deberá tener como mínimo estas características técnicas. Podrán mejorar o aumentar las especificaciones técnicas, pero en ningún momento podrán desmejorar.  Cepillo 85 cm mínimo, presion regulable de los mismos,velocidad: 260 RPM -Squeegee ancho mínimo 100cm, bateria de larga duracion,filtro en el motor de aspiracion , tubo flexible de vaciado, Fácil acceso: El depósito del agua sucia es perfectamente accesible, por lo que se pueden eliminar eficazmente los depósitos de suciedad que pudiera haber en el mismo. </t>
  </si>
  <si>
    <t xml:space="preserve">TOTAL MES MAQUINARIA </t>
  </si>
  <si>
    <t>Nota: el valor total ofertadopor mes no podrá superar $5.000.000 IVA incluido.</t>
  </si>
  <si>
    <t>VALOR AGREGADO</t>
  </si>
  <si>
    <t>PUNTAJE OTORGADO</t>
  </si>
  <si>
    <t>Puntaje máximo</t>
  </si>
  <si>
    <t>Cantidad ofertada como valor agregado</t>
  </si>
  <si>
    <t>Supervisor tiempo completo en horario diurno ordinario. Deberá oferta máximo 2 supervisores adicionales</t>
  </si>
  <si>
    <t>Operario de aseo tiempo completo en horario diurno ordinario. Deberá oferta máximo 5 operarios de aseo adicionales</t>
  </si>
  <si>
    <t>20 puntos por operario</t>
  </si>
  <si>
    <t>50 puntos por cada supervisor</t>
  </si>
  <si>
    <t>Indicar la cantidad ofertada</t>
  </si>
  <si>
    <t>Turno ordinario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</si>
</sst>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4" formatCode="_-&quot;$&quot;\ * #,##0.00_-;\-&quot;$&quot;\ * #,##0.00_-;_-&quot;$&quot;\ * &quot;-&quot;??_-;_-@_-"/>
    <numFmt numFmtId="164" formatCode="General_)"/>
    <numFmt numFmtId="165" formatCode="_-&quot;$&quot;* #,##0.00_-;\-&quot;$&quot;* #,##0.00_-;_-&quot;$&quot;* &quot;-&quot;??_-;_-@_-"/>
    <numFmt numFmtId="166" formatCode="_(&quot;$&quot;\ * #,##0_);_(&quot;$&quot;\ * \(#,##0\);_(&quot;$&quot;\ * &quot;-&quot;??_);_(@_)"/>
    <numFmt numFmtId="167" formatCode="_-&quot;$&quot;* #,##0_-;\-&quot;$&quot;* #,##0_-;_-&quot;$&quot;* &quot;-&quot;??_-;_-@_-"/>
    <numFmt numFmtId="168" formatCode="_-&quot;$&quot;\ * #,##0_-;\-&quot;$&quot;\ * #,##0_-;_-&quot;$&quot;\ * &quot;-&quot;??_-;_-@_-"/>
  </numFmts>
  <fonts count="1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1"/>
      <name val="Calibri"/>
      <family val="2"/>
      <scheme val="minor"/>
    </font>
    <font>
      <b/>
      <sz val="11"/>
      <name val="Calibri"/>
      <family val="2"/>
    </font>
    <font>
      <sz val="11"/>
      <color theme="1"/>
      <name val="Calibri"/>
      <family val="2"/>
    </font>
    <font>
      <sz val="11"/>
      <color rgb="FF000000"/>
      <name val="Calibri"/>
      <family val="2"/>
    </font>
  </fonts>
  <fills count="8">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
      <patternFill patternType="solid">
        <fgColor rgb="FFBDFFE4"/>
        <bgColor indexed="64"/>
      </patternFill>
    </fill>
    <fill>
      <patternFill patternType="solid">
        <fgColor theme="0"/>
        <bgColor indexed="64"/>
      </patternFill>
    </fill>
    <fill>
      <patternFill patternType="solid">
        <fgColor rgb="FFFFFF00"/>
        <bgColor indexed="64"/>
      </patternFill>
    </fill>
    <fill>
      <patternFill patternType="solid">
        <fgColor rgb="FFBFBFBF"/>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s>
  <cellStyleXfs count="4">
    <xf numFmtId="0" fontId="0" fillId="0" borderId="0"/>
    <xf numFmtId="9"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cellStyleXfs>
  <cellXfs count="89">
    <xf numFmtId="0" fontId="0" fillId="0" borderId="0" xfId="0"/>
    <xf numFmtId="164" fontId="5" fillId="0" borderId="2" xfId="0" applyNumberFormat="1" applyFont="1" applyBorder="1" applyAlignment="1">
      <alignment horizontal="left"/>
    </xf>
    <xf numFmtId="166" fontId="5" fillId="0" borderId="2" xfId="2" applyNumberFormat="1" applyFont="1" applyFill="1" applyBorder="1" applyAlignment="1">
      <alignment horizontal="center"/>
    </xf>
    <xf numFmtId="164" fontId="4" fillId="0" borderId="2" xfId="0" applyNumberFormat="1" applyFont="1" applyBorder="1" applyAlignment="1">
      <alignment horizontal="center" vertical="center" wrapText="1"/>
    </xf>
    <xf numFmtId="10" fontId="5" fillId="0" borderId="2" xfId="1" applyNumberFormat="1" applyFont="1" applyFill="1" applyBorder="1" applyAlignment="1">
      <alignment horizontal="center"/>
    </xf>
    <xf numFmtId="164" fontId="4" fillId="3" borderId="2" xfId="0" applyNumberFormat="1" applyFont="1" applyFill="1" applyBorder="1" applyAlignment="1">
      <alignment horizontal="center" vertical="center"/>
    </xf>
    <xf numFmtId="164" fontId="4" fillId="0" borderId="3" xfId="0" applyNumberFormat="1" applyFont="1" applyBorder="1" applyAlignment="1">
      <alignment vertical="center" wrapText="1"/>
    </xf>
    <xf numFmtId="164" fontId="4" fillId="3" borderId="12" xfId="0" applyNumberFormat="1" applyFont="1" applyFill="1" applyBorder="1" applyAlignment="1">
      <alignment horizontal="center"/>
    </xf>
    <xf numFmtId="164" fontId="4" fillId="3" borderId="13" xfId="0" applyNumberFormat="1" applyFont="1" applyFill="1" applyBorder="1" applyAlignment="1">
      <alignment horizontal="center"/>
    </xf>
    <xf numFmtId="164" fontId="4" fillId="3" borderId="14" xfId="0" applyNumberFormat="1" applyFont="1" applyFill="1" applyBorder="1" applyAlignment="1">
      <alignment horizontal="center"/>
    </xf>
    <xf numFmtId="164" fontId="5" fillId="5" borderId="2" xfId="0" applyNumberFormat="1" applyFont="1" applyFill="1" applyBorder="1" applyAlignment="1">
      <alignment horizontal="left"/>
    </xf>
    <xf numFmtId="164" fontId="5" fillId="5" borderId="6" xfId="0" applyNumberFormat="1" applyFont="1" applyFill="1" applyBorder="1" applyAlignment="1">
      <alignment horizontal="center"/>
    </xf>
    <xf numFmtId="0" fontId="0" fillId="5" borderId="0" xfId="0" applyFill="1"/>
    <xf numFmtId="164" fontId="5" fillId="5" borderId="2" xfId="0" applyNumberFormat="1" applyFont="1" applyFill="1" applyBorder="1" applyAlignment="1">
      <alignment horizontal="center"/>
    </xf>
    <xf numFmtId="166" fontId="5" fillId="5" borderId="2" xfId="2" applyNumberFormat="1" applyFont="1" applyFill="1" applyBorder="1" applyAlignment="1">
      <alignment horizontal="center"/>
    </xf>
    <xf numFmtId="164" fontId="4" fillId="5" borderId="2" xfId="0" applyNumberFormat="1" applyFont="1" applyFill="1" applyBorder="1" applyAlignment="1">
      <alignment horizontal="center" vertical="center" wrapText="1"/>
    </xf>
    <xf numFmtId="0" fontId="4" fillId="3" borderId="2" xfId="0" applyFont="1" applyFill="1" applyBorder="1" applyAlignment="1">
      <alignment horizontal="center" vertical="center" wrapText="1"/>
    </xf>
    <xf numFmtId="42" fontId="0" fillId="0" borderId="0" xfId="0" applyNumberFormat="1"/>
    <xf numFmtId="0" fontId="3" fillId="0" borderId="0" xfId="0" applyFont="1"/>
    <xf numFmtId="166" fontId="5" fillId="5" borderId="6" xfId="2" applyNumberFormat="1" applyFont="1" applyFill="1" applyBorder="1" applyAlignment="1">
      <alignment horizontal="center"/>
    </xf>
    <xf numFmtId="44" fontId="0" fillId="0" borderId="0" xfId="3" applyFont="1"/>
    <xf numFmtId="168" fontId="0" fillId="0" borderId="0" xfId="3" applyNumberFormat="1" applyFont="1"/>
    <xf numFmtId="44" fontId="0" fillId="0" borderId="0" xfId="0" applyNumberFormat="1"/>
    <xf numFmtId="164" fontId="6" fillId="3" borderId="13" xfId="0" applyNumberFormat="1" applyFont="1" applyFill="1" applyBorder="1" applyAlignment="1">
      <alignment horizontal="center"/>
    </xf>
    <xf numFmtId="168" fontId="0" fillId="0" borderId="2" xfId="3" applyNumberFormat="1" applyFont="1" applyBorder="1" applyAlignment="1">
      <alignment horizontal="center" vertical="center"/>
    </xf>
    <xf numFmtId="0" fontId="0" fillId="0" borderId="2" xfId="0" applyBorder="1" applyAlignment="1">
      <alignment horizontal="left"/>
    </xf>
    <xf numFmtId="9" fontId="0" fillId="6" borderId="2" xfId="1" applyFont="1" applyFill="1" applyBorder="1" applyAlignment="1">
      <alignment horizontal="left"/>
    </xf>
    <xf numFmtId="0" fontId="4" fillId="0" borderId="2" xfId="0" applyFont="1" applyBorder="1"/>
    <xf numFmtId="0" fontId="4" fillId="3" borderId="2" xfId="0" applyFont="1" applyFill="1" applyBorder="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left" vertical="center" wrapText="1"/>
    </xf>
    <xf numFmtId="44" fontId="0" fillId="6" borderId="2" xfId="3" applyFont="1" applyFill="1" applyBorder="1"/>
    <xf numFmtId="44" fontId="0" fillId="0" borderId="2" xfId="0" applyNumberFormat="1" applyBorder="1"/>
    <xf numFmtId="0" fontId="0" fillId="0" borderId="2" xfId="0" applyBorder="1" applyAlignment="1">
      <alignment horizontal="left" wrapText="1"/>
    </xf>
    <xf numFmtId="44" fontId="4" fillId="3" borderId="2" xfId="0" applyNumberFormat="1" applyFont="1" applyFill="1" applyBorder="1"/>
    <xf numFmtId="0" fontId="9" fillId="7"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6" borderId="2" xfId="0" applyFont="1" applyFill="1" applyBorder="1" applyAlignment="1">
      <alignment horizontal="center" vertical="center" wrapText="1"/>
    </xf>
    <xf numFmtId="0" fontId="0" fillId="0" borderId="2" xfId="0" applyBorder="1" applyAlignment="1">
      <alignment horizontal="center" vertical="center"/>
    </xf>
    <xf numFmtId="0" fontId="9" fillId="7" borderId="15"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0" fillId="6" borderId="2" xfId="0" applyFill="1" applyBorder="1"/>
    <xf numFmtId="167" fontId="4" fillId="0" borderId="3" xfId="2" applyNumberFormat="1" applyFont="1" applyFill="1" applyBorder="1" applyAlignment="1">
      <alignment horizontal="left" vertical="distributed"/>
    </xf>
    <xf numFmtId="167" fontId="4" fillId="0" borderId="7" xfId="2" applyNumberFormat="1" applyFont="1" applyFill="1" applyBorder="1" applyAlignment="1">
      <alignment horizontal="left" vertical="distributed"/>
    </xf>
    <xf numFmtId="167" fontId="4" fillId="0" borderId="4" xfId="2" applyNumberFormat="1" applyFont="1" applyFill="1" applyBorder="1" applyAlignment="1">
      <alignment horizontal="left" vertical="distributed"/>
    </xf>
    <xf numFmtId="167" fontId="4" fillId="3" borderId="3" xfId="2" applyNumberFormat="1" applyFont="1" applyFill="1" applyBorder="1" applyAlignment="1">
      <alignment horizontal="left"/>
    </xf>
    <xf numFmtId="167" fontId="4" fillId="3" borderId="7" xfId="2" applyNumberFormat="1" applyFont="1" applyFill="1" applyBorder="1" applyAlignment="1">
      <alignment horizontal="left"/>
    </xf>
    <xf numFmtId="167" fontId="4" fillId="3" borderId="4" xfId="2" applyNumberFormat="1" applyFont="1" applyFill="1" applyBorder="1" applyAlignment="1">
      <alignment horizontal="left"/>
    </xf>
    <xf numFmtId="167" fontId="4" fillId="5" borderId="2" xfId="2" applyNumberFormat="1" applyFont="1" applyFill="1" applyBorder="1" applyAlignment="1">
      <alignment horizontal="distributed" vertical="distributed"/>
    </xf>
    <xf numFmtId="166" fontId="6" fillId="0" borderId="3" xfId="2" applyNumberFormat="1" applyFont="1" applyFill="1" applyBorder="1" applyAlignment="1">
      <alignment horizontal="center" vertical="center" wrapText="1"/>
    </xf>
    <xf numFmtId="166" fontId="6" fillId="0" borderId="4" xfId="2" applyNumberFormat="1" applyFont="1" applyFill="1" applyBorder="1" applyAlignment="1">
      <alignment horizontal="center" vertical="center" wrapText="1"/>
    </xf>
    <xf numFmtId="167" fontId="4" fillId="0" borderId="3" xfId="2" applyNumberFormat="1" applyFont="1" applyFill="1" applyBorder="1" applyAlignment="1">
      <alignment vertical="distributed"/>
    </xf>
    <xf numFmtId="167" fontId="4" fillId="0" borderId="7" xfId="2" applyNumberFormat="1" applyFont="1" applyFill="1" applyBorder="1" applyAlignment="1">
      <alignment vertical="distributed"/>
    </xf>
    <xf numFmtId="167" fontId="4" fillId="0" borderId="4" xfId="2" applyNumberFormat="1" applyFont="1" applyFill="1" applyBorder="1" applyAlignment="1">
      <alignment vertical="distributed"/>
    </xf>
    <xf numFmtId="10" fontId="0" fillId="4" borderId="3" xfId="1" applyNumberFormat="1" applyFont="1" applyFill="1" applyBorder="1" applyAlignment="1">
      <alignment horizontal="left"/>
    </xf>
    <xf numFmtId="10" fontId="0" fillId="4" borderId="7" xfId="1" applyNumberFormat="1" applyFont="1" applyFill="1" applyBorder="1" applyAlignment="1">
      <alignment horizontal="left"/>
    </xf>
    <xf numFmtId="10" fontId="0" fillId="4" borderId="4" xfId="1" applyNumberFormat="1" applyFont="1" applyFill="1" applyBorder="1" applyAlignment="1">
      <alignment horizontal="left"/>
    </xf>
    <xf numFmtId="164" fontId="6" fillId="0" borderId="2" xfId="0" applyNumberFormat="1" applyFont="1" applyBorder="1" applyAlignment="1">
      <alignment horizontal="center" vertical="center" wrapText="1"/>
    </xf>
    <xf numFmtId="164" fontId="6" fillId="0" borderId="3" xfId="0" applyNumberFormat="1" applyFont="1" applyBorder="1" applyAlignment="1">
      <alignment horizontal="center" vertical="center" wrapText="1"/>
    </xf>
    <xf numFmtId="164" fontId="6" fillId="0" borderId="4" xfId="0" applyNumberFormat="1" applyFont="1" applyBorder="1" applyAlignment="1">
      <alignment horizontal="center" vertical="center" wrapText="1"/>
    </xf>
    <xf numFmtId="166" fontId="4" fillId="0" borderId="3" xfId="2" applyNumberFormat="1" applyFont="1" applyFill="1" applyBorder="1" applyAlignment="1">
      <alignment horizontal="center" vertical="center" wrapText="1"/>
    </xf>
    <xf numFmtId="166" fontId="4" fillId="0" borderId="4" xfId="2" applyNumberFormat="1" applyFont="1" applyFill="1" applyBorder="1" applyAlignment="1">
      <alignment horizontal="center" vertical="center" wrapText="1"/>
    </xf>
    <xf numFmtId="166" fontId="4" fillId="0" borderId="3" xfId="2" applyNumberFormat="1" applyFont="1" applyFill="1" applyBorder="1" applyAlignment="1">
      <alignment horizontal="center" vertical="center"/>
    </xf>
    <xf numFmtId="166" fontId="4" fillId="0" borderId="4" xfId="2" applyNumberFormat="1" applyFont="1" applyFill="1" applyBorder="1" applyAlignment="1">
      <alignment horizontal="center" vertical="center"/>
    </xf>
    <xf numFmtId="166" fontId="4" fillId="0" borderId="3" xfId="2" applyNumberFormat="1" applyFont="1" applyFill="1" applyBorder="1" applyAlignment="1">
      <alignment horizontal="center"/>
    </xf>
    <xf numFmtId="166" fontId="4" fillId="0" borderId="4" xfId="2" applyNumberFormat="1" applyFont="1" applyFill="1" applyBorder="1" applyAlignment="1">
      <alignment horizontal="center"/>
    </xf>
    <xf numFmtId="164" fontId="4" fillId="3" borderId="2" xfId="0" applyNumberFormat="1" applyFont="1" applyFill="1" applyBorder="1" applyAlignment="1">
      <alignment horizontal="center" vertical="center" wrapText="1"/>
    </xf>
    <xf numFmtId="166" fontId="6" fillId="5" borderId="2" xfId="2" applyNumberFormat="1" applyFont="1" applyFill="1" applyBorder="1" applyAlignment="1">
      <alignment horizontal="center"/>
    </xf>
    <xf numFmtId="164" fontId="4" fillId="3" borderId="3" xfId="0" applyNumberFormat="1" applyFont="1" applyFill="1" applyBorder="1" applyAlignment="1">
      <alignment horizontal="center" vertical="center"/>
    </xf>
    <xf numFmtId="164" fontId="4" fillId="3" borderId="11" xfId="0" applyNumberFormat="1" applyFont="1" applyFill="1" applyBorder="1" applyAlignment="1">
      <alignment horizontal="center" vertical="center" wrapText="1"/>
    </xf>
    <xf numFmtId="167" fontId="4" fillId="3" borderId="3" xfId="2" applyNumberFormat="1" applyFont="1" applyFill="1" applyBorder="1" applyAlignment="1"/>
    <xf numFmtId="167" fontId="4" fillId="3" borderId="7" xfId="2" applyNumberFormat="1" applyFont="1" applyFill="1" applyBorder="1" applyAlignment="1"/>
    <xf numFmtId="167" fontId="4" fillId="3" borderId="4" xfId="2" applyNumberFormat="1" applyFont="1" applyFill="1" applyBorder="1" applyAlignment="1"/>
    <xf numFmtId="0" fontId="4" fillId="0" borderId="0" xfId="0" applyFont="1" applyAlignment="1">
      <alignment horizontal="center"/>
    </xf>
    <xf numFmtId="0" fontId="0" fillId="0" borderId="0" xfId="0" applyAlignment="1">
      <alignment horizontal="center"/>
    </xf>
    <xf numFmtId="164" fontId="2" fillId="2" borderId="1" xfId="0" applyNumberFormat="1" applyFont="1" applyFill="1" applyBorder="1" applyAlignment="1">
      <alignment horizontal="center" vertical="center" wrapText="1"/>
    </xf>
    <xf numFmtId="164" fontId="2" fillId="2" borderId="0" xfId="0" applyNumberFormat="1" applyFont="1" applyFill="1" applyAlignment="1">
      <alignment horizontal="center" vertical="center" wrapText="1"/>
    </xf>
    <xf numFmtId="164" fontId="4" fillId="3" borderId="8" xfId="0" applyNumberFormat="1" applyFont="1" applyFill="1" applyBorder="1" applyAlignment="1">
      <alignment horizontal="center" vertical="center" wrapText="1"/>
    </xf>
    <xf numFmtId="164" fontId="4" fillId="3" borderId="9" xfId="0" applyNumberFormat="1" applyFont="1" applyFill="1" applyBorder="1" applyAlignment="1">
      <alignment horizontal="center" vertical="center" wrapText="1"/>
    </xf>
    <xf numFmtId="164" fontId="6" fillId="3" borderId="9" xfId="0" applyNumberFormat="1" applyFont="1" applyFill="1" applyBorder="1" applyAlignment="1">
      <alignment horizontal="center" vertical="center" wrapText="1"/>
    </xf>
    <xf numFmtId="164" fontId="4" fillId="3" borderId="10" xfId="0" applyNumberFormat="1" applyFont="1" applyFill="1" applyBorder="1" applyAlignment="1">
      <alignment horizontal="center" vertical="center" wrapText="1"/>
    </xf>
    <xf numFmtId="168" fontId="4" fillId="0" borderId="3" xfId="3" applyNumberFormat="1" applyFont="1" applyBorder="1" applyAlignment="1">
      <alignment horizontal="center"/>
    </xf>
    <xf numFmtId="168" fontId="4" fillId="0" borderId="7" xfId="3" applyNumberFormat="1" applyFont="1" applyBorder="1" applyAlignment="1">
      <alignment horizontal="center"/>
    </xf>
    <xf numFmtId="168" fontId="4" fillId="0" borderId="4" xfId="3" applyNumberFormat="1" applyFont="1" applyBorder="1" applyAlignment="1">
      <alignment horizontal="center"/>
    </xf>
    <xf numFmtId="0" fontId="7" fillId="7" borderId="2" xfId="0" applyFont="1" applyFill="1" applyBorder="1" applyAlignment="1">
      <alignment horizontal="center" vertical="center"/>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4" fillId="0" borderId="2" xfId="0" applyFont="1" applyBorder="1" applyAlignment="1">
      <alignment horizontal="center"/>
    </xf>
  </cellXfs>
  <cellStyles count="4">
    <cellStyle name="Moneda" xfId="3" builtinId="4"/>
    <cellStyle name="Moneda 2" xfId="2" xr:uid="{00000000-0005-0000-0000-000003000000}"/>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8E593-545D-4CFE-B695-FB6929F2BDB0}">
  <dimension ref="A1:S61"/>
  <sheetViews>
    <sheetView topLeftCell="A48" zoomScale="90" zoomScaleNormal="90" workbookViewId="0">
      <selection activeCell="A67" sqref="A67"/>
    </sheetView>
  </sheetViews>
  <sheetFormatPr baseColWidth="10" defaultColWidth="11.42578125" defaultRowHeight="15" x14ac:dyDescent="0.25"/>
  <cols>
    <col min="1" max="1" width="39.42578125" bestFit="1" customWidth="1"/>
    <col min="2" max="2" width="17.5703125" bestFit="1" customWidth="1"/>
    <col min="3" max="3" width="15.140625" bestFit="1" customWidth="1"/>
    <col min="4" max="5" width="15.140625" customWidth="1"/>
    <col min="6" max="6" width="13.85546875" bestFit="1" customWidth="1"/>
    <col min="7" max="7" width="22.5703125" customWidth="1"/>
    <col min="8" max="8" width="19.7109375" customWidth="1"/>
    <col min="9" max="9" width="19.28515625" bestFit="1" customWidth="1"/>
    <col min="10" max="10" width="13" bestFit="1" customWidth="1"/>
    <col min="11" max="12" width="19.28515625" bestFit="1" customWidth="1"/>
    <col min="13" max="13" width="15.140625" bestFit="1" customWidth="1"/>
    <col min="14" max="14" width="15.42578125" bestFit="1" customWidth="1"/>
    <col min="15" max="15" width="15.140625" bestFit="1" customWidth="1"/>
    <col min="16" max="16" width="13" bestFit="1" customWidth="1"/>
    <col min="17" max="17" width="15.140625" bestFit="1" customWidth="1"/>
    <col min="18" max="18" width="15.42578125" bestFit="1" customWidth="1"/>
    <col min="19" max="19" width="17.42578125" customWidth="1"/>
    <col min="20" max="20" width="19.28515625" bestFit="1" customWidth="1"/>
    <col min="21" max="21" width="12.140625" bestFit="1" customWidth="1"/>
  </cols>
  <sheetData>
    <row r="1" spans="1:19" ht="15.75" thickBot="1" x14ac:dyDescent="0.3">
      <c r="A1" s="75" t="s">
        <v>0</v>
      </c>
      <c r="B1" s="75"/>
      <c r="C1" s="75"/>
      <c r="D1" s="75"/>
      <c r="E1" s="75"/>
      <c r="F1" s="75"/>
      <c r="G1" s="75"/>
      <c r="H1" s="75"/>
      <c r="I1" s="75"/>
      <c r="J1" s="75"/>
      <c r="K1" s="75"/>
      <c r="L1" s="75"/>
      <c r="M1" s="75"/>
      <c r="N1" s="75"/>
      <c r="O1" s="75"/>
      <c r="P1" s="75"/>
      <c r="Q1" s="75"/>
      <c r="R1" s="75"/>
      <c r="S1" s="75"/>
    </row>
    <row r="2" spans="1:19" ht="37.5" customHeight="1" x14ac:dyDescent="0.25">
      <c r="A2" s="6"/>
      <c r="B2" s="77" t="s">
        <v>1</v>
      </c>
      <c r="C2" s="78"/>
      <c r="D2" s="77" t="s">
        <v>40</v>
      </c>
      <c r="E2" s="78"/>
      <c r="F2" s="78" t="s">
        <v>41</v>
      </c>
      <c r="G2" s="78"/>
      <c r="H2" s="78" t="s">
        <v>36</v>
      </c>
      <c r="I2" s="78"/>
      <c r="J2" s="78" t="s">
        <v>2</v>
      </c>
      <c r="K2" s="78"/>
      <c r="L2" s="78" t="s">
        <v>3</v>
      </c>
      <c r="M2" s="78"/>
      <c r="N2" s="78" t="s">
        <v>4</v>
      </c>
      <c r="O2" s="78"/>
      <c r="P2" s="79" t="s">
        <v>42</v>
      </c>
      <c r="Q2" s="79"/>
      <c r="R2" s="78" t="s">
        <v>5</v>
      </c>
      <c r="S2" s="80"/>
    </row>
    <row r="3" spans="1:19" ht="15" customHeight="1" x14ac:dyDescent="0.25">
      <c r="A3" s="68" t="s">
        <v>6</v>
      </c>
      <c r="B3" s="69" t="s">
        <v>75</v>
      </c>
      <c r="C3" s="66"/>
      <c r="D3" s="69" t="s">
        <v>75</v>
      </c>
      <c r="E3" s="66"/>
      <c r="F3" s="69" t="s">
        <v>75</v>
      </c>
      <c r="G3" s="66"/>
      <c r="H3" s="69" t="s">
        <v>75</v>
      </c>
      <c r="I3" s="66"/>
      <c r="J3" s="69" t="s">
        <v>75</v>
      </c>
      <c r="K3" s="66"/>
      <c r="L3" s="69" t="s">
        <v>75</v>
      </c>
      <c r="M3" s="66"/>
      <c r="N3" s="69" t="s">
        <v>75</v>
      </c>
      <c r="O3" s="66"/>
      <c r="P3" s="69" t="s">
        <v>75</v>
      </c>
      <c r="Q3" s="66"/>
      <c r="R3" s="69" t="s">
        <v>75</v>
      </c>
      <c r="S3" s="66"/>
    </row>
    <row r="4" spans="1:19" ht="15.75" thickBot="1" x14ac:dyDescent="0.3">
      <c r="A4" s="68"/>
      <c r="B4" s="7" t="s">
        <v>7</v>
      </c>
      <c r="C4" s="8" t="s">
        <v>8</v>
      </c>
      <c r="D4" s="7" t="s">
        <v>7</v>
      </c>
      <c r="E4" s="8" t="s">
        <v>8</v>
      </c>
      <c r="F4" s="8" t="s">
        <v>7</v>
      </c>
      <c r="G4" s="8" t="s">
        <v>8</v>
      </c>
      <c r="H4" s="8" t="s">
        <v>7</v>
      </c>
      <c r="I4" s="8" t="s">
        <v>8</v>
      </c>
      <c r="J4" s="8" t="s">
        <v>7</v>
      </c>
      <c r="K4" s="8" t="s">
        <v>8</v>
      </c>
      <c r="L4" s="8" t="s">
        <v>7</v>
      </c>
      <c r="M4" s="8" t="s">
        <v>8</v>
      </c>
      <c r="N4" s="8" t="s">
        <v>7</v>
      </c>
      <c r="O4" s="8" t="s">
        <v>8</v>
      </c>
      <c r="P4" s="23" t="s">
        <v>7</v>
      </c>
      <c r="Q4" s="23" t="s">
        <v>8</v>
      </c>
      <c r="R4" s="8" t="s">
        <v>7</v>
      </c>
      <c r="S4" s="9" t="s">
        <v>8</v>
      </c>
    </row>
    <row r="5" spans="1:19" s="12" customFormat="1" x14ac:dyDescent="0.25">
      <c r="A5" s="10" t="s">
        <v>9</v>
      </c>
      <c r="B5" s="11"/>
      <c r="C5" s="19">
        <v>1423500</v>
      </c>
      <c r="D5" s="11"/>
      <c r="E5" s="19">
        <f>+C5</f>
        <v>1423500</v>
      </c>
      <c r="F5" s="11"/>
      <c r="G5" s="19">
        <f>+(1399667*1.0954)</f>
        <v>1533195.2318</v>
      </c>
      <c r="H5" s="11"/>
      <c r="I5" s="19">
        <f>+(1399667*1.0954)+234570</f>
        <v>1767765.2318</v>
      </c>
      <c r="J5" s="11"/>
      <c r="K5" s="19">
        <f>(1613808*1.0954)</f>
        <v>1767765.2831999999</v>
      </c>
      <c r="L5" s="11"/>
      <c r="M5" s="19">
        <f>(1815534*1.0954)+110000</f>
        <v>2098735.9435999999</v>
      </c>
      <c r="N5" s="11"/>
      <c r="O5" s="19">
        <f>1584929.93060808*1.0954</f>
        <v>1736132.2459880908</v>
      </c>
      <c r="P5" s="11"/>
      <c r="Q5" s="19">
        <f>+C5/2</f>
        <v>711750</v>
      </c>
      <c r="R5" s="11"/>
      <c r="S5" s="19">
        <f>(2121777.69414912*1.0954)+150000</f>
        <v>2474195.2861709455</v>
      </c>
    </row>
    <row r="6" spans="1:19" s="12" customFormat="1" x14ac:dyDescent="0.25">
      <c r="A6" s="10" t="s">
        <v>10</v>
      </c>
      <c r="B6" s="13"/>
      <c r="C6" s="14">
        <v>200000</v>
      </c>
      <c r="D6" s="13"/>
      <c r="E6" s="14">
        <f>+C6</f>
        <v>200000</v>
      </c>
      <c r="F6" s="13"/>
      <c r="G6" s="14">
        <f>+E6</f>
        <v>200000</v>
      </c>
      <c r="H6" s="13"/>
      <c r="I6" s="14">
        <f>+G6</f>
        <v>200000</v>
      </c>
      <c r="J6" s="13"/>
      <c r="K6" s="14">
        <f>+I6</f>
        <v>200000</v>
      </c>
      <c r="L6" s="13"/>
      <c r="M6" s="14">
        <f>+K6</f>
        <v>200000</v>
      </c>
      <c r="N6" s="13"/>
      <c r="O6" s="14">
        <f>+M6</f>
        <v>200000</v>
      </c>
      <c r="P6" s="13"/>
      <c r="Q6" s="14">
        <f>+O6</f>
        <v>200000</v>
      </c>
      <c r="R6" s="13"/>
      <c r="S6" s="14">
        <f>+Q6</f>
        <v>200000</v>
      </c>
    </row>
    <row r="7" spans="1:19" s="12" customFormat="1" x14ac:dyDescent="0.25">
      <c r="A7" s="15" t="s">
        <v>11</v>
      </c>
      <c r="B7" s="67">
        <f>+C5+C6</f>
        <v>1623500</v>
      </c>
      <c r="C7" s="67"/>
      <c r="D7" s="67">
        <f>+E5+E6</f>
        <v>1623500</v>
      </c>
      <c r="E7" s="67"/>
      <c r="F7" s="67">
        <f>+G5+G6</f>
        <v>1733195.2318</v>
      </c>
      <c r="G7" s="67"/>
      <c r="H7" s="67">
        <f>+I5+I6</f>
        <v>1967765.2318</v>
      </c>
      <c r="I7" s="67"/>
      <c r="J7" s="67">
        <f>+K5+K6</f>
        <v>1967765.2831999999</v>
      </c>
      <c r="K7" s="67"/>
      <c r="L7" s="67">
        <f>+M5+M6</f>
        <v>2298735.9435999999</v>
      </c>
      <c r="M7" s="67"/>
      <c r="N7" s="67">
        <f>+O5+O6</f>
        <v>1936132.2459880908</v>
      </c>
      <c r="O7" s="67"/>
      <c r="P7" s="67">
        <f>+Q5+Q6</f>
        <v>911750</v>
      </c>
      <c r="Q7" s="67"/>
      <c r="R7" s="67">
        <f>+S5+S6</f>
        <v>2674195.2861709455</v>
      </c>
      <c r="S7" s="67"/>
    </row>
    <row r="8" spans="1:19" x14ac:dyDescent="0.25">
      <c r="A8" s="1" t="s">
        <v>12</v>
      </c>
      <c r="B8" s="4">
        <v>8.3299999999999999E-2</v>
      </c>
      <c r="C8" s="2">
        <f>+B8*$B$7</f>
        <v>135237.54999999999</v>
      </c>
      <c r="D8" s="4">
        <v>8.3299999999999999E-2</v>
      </c>
      <c r="E8" s="2">
        <f>+D8*$D$7</f>
        <v>135237.54999999999</v>
      </c>
      <c r="F8" s="4">
        <v>8.3299999999999999E-2</v>
      </c>
      <c r="G8" s="2">
        <f>+F8*$F$7</f>
        <v>144375.16280893999</v>
      </c>
      <c r="H8" s="4">
        <v>8.3299999999999999E-2</v>
      </c>
      <c r="I8" s="2">
        <f>+H8*$H$7</f>
        <v>163914.84380894</v>
      </c>
      <c r="J8" s="4">
        <v>8.3299999999999999E-2</v>
      </c>
      <c r="K8" s="2">
        <f>+J8*$J$7</f>
        <v>163914.84809056</v>
      </c>
      <c r="L8" s="4">
        <v>8.3299999999999999E-2</v>
      </c>
      <c r="M8" s="2">
        <f>+L8*$L$7</f>
        <v>191484.70410187999</v>
      </c>
      <c r="N8" s="4">
        <v>8.3299999999999999E-2</v>
      </c>
      <c r="O8" s="2">
        <f>+N8*$N$7</f>
        <v>161279.81609080796</v>
      </c>
      <c r="P8" s="4">
        <v>8.3299999999999999E-2</v>
      </c>
      <c r="Q8" s="2">
        <f>+P8*$P$7</f>
        <v>75948.774999999994</v>
      </c>
      <c r="R8" s="4">
        <v>8.3299999999999999E-2</v>
      </c>
      <c r="S8" s="2">
        <f>+R8*$R$7</f>
        <v>222760.46733803974</v>
      </c>
    </row>
    <row r="9" spans="1:19" x14ac:dyDescent="0.25">
      <c r="A9" s="1" t="s">
        <v>13</v>
      </c>
      <c r="B9" s="4">
        <v>8.3299999999999999E-2</v>
      </c>
      <c r="C9" s="2">
        <f>+B9*$B$7</f>
        <v>135237.54999999999</v>
      </c>
      <c r="D9" s="4">
        <v>8.3299999999999999E-2</v>
      </c>
      <c r="E9" s="2">
        <f t="shared" ref="E9:E10" si="0">+D9*$D$7</f>
        <v>135237.54999999999</v>
      </c>
      <c r="F9" s="4">
        <v>8.3299999999999999E-2</v>
      </c>
      <c r="G9" s="2">
        <f>+F9*$F$7</f>
        <v>144375.16280893999</v>
      </c>
      <c r="H9" s="4">
        <v>8.3299999999999999E-2</v>
      </c>
      <c r="I9" s="2">
        <f>+H9*$H$7</f>
        <v>163914.84380894</v>
      </c>
      <c r="J9" s="4">
        <v>8.3299999999999999E-2</v>
      </c>
      <c r="K9" s="2">
        <f>+J9*$J$7</f>
        <v>163914.84809056</v>
      </c>
      <c r="L9" s="4">
        <v>8.3299999999999999E-2</v>
      </c>
      <c r="M9" s="2">
        <f>+L9*$L$7</f>
        <v>191484.70410187999</v>
      </c>
      <c r="N9" s="4">
        <v>8.3299999999999999E-2</v>
      </c>
      <c r="O9" s="2">
        <f>+N9*$N$7</f>
        <v>161279.81609080796</v>
      </c>
      <c r="P9" s="4">
        <v>8.3299999999999999E-2</v>
      </c>
      <c r="Q9" s="2">
        <f>+P9*$P$7</f>
        <v>75948.774999999994</v>
      </c>
      <c r="R9" s="4">
        <v>8.3299999999999999E-2</v>
      </c>
      <c r="S9" s="2">
        <f>+R9*$R$7</f>
        <v>222760.46733803974</v>
      </c>
    </row>
    <row r="10" spans="1:19" x14ac:dyDescent="0.25">
      <c r="A10" s="1" t="s">
        <v>14</v>
      </c>
      <c r="B10" s="4">
        <v>0.01</v>
      </c>
      <c r="C10" s="2">
        <f>+B10*$B$7</f>
        <v>16235</v>
      </c>
      <c r="D10" s="4">
        <v>0.01</v>
      </c>
      <c r="E10" s="2">
        <f t="shared" si="0"/>
        <v>16235</v>
      </c>
      <c r="F10" s="4">
        <v>0.01</v>
      </c>
      <c r="G10" s="2">
        <f>+F10*$F$7</f>
        <v>17331.952318</v>
      </c>
      <c r="H10" s="4">
        <v>0.01</v>
      </c>
      <c r="I10" s="2">
        <f>+H10*$H$7</f>
        <v>19677.652318</v>
      </c>
      <c r="J10" s="4">
        <v>0.01</v>
      </c>
      <c r="K10" s="2">
        <f>+J10*$J$7</f>
        <v>19677.652832</v>
      </c>
      <c r="L10" s="4">
        <v>0.01</v>
      </c>
      <c r="M10" s="2">
        <f>+L10*$L$7</f>
        <v>22987.359435999999</v>
      </c>
      <c r="N10" s="4">
        <v>0.01</v>
      </c>
      <c r="O10" s="2">
        <f>+N10*$N$7</f>
        <v>19361.322459880907</v>
      </c>
      <c r="P10" s="4">
        <v>0.01</v>
      </c>
      <c r="Q10" s="2">
        <f>+P10*$P$7</f>
        <v>9117.5</v>
      </c>
      <c r="R10" s="4">
        <v>0.01</v>
      </c>
      <c r="S10" s="2">
        <f>+R10*$R$7</f>
        <v>26741.952861709455</v>
      </c>
    </row>
    <row r="11" spans="1:19" x14ac:dyDescent="0.25">
      <c r="A11" s="1" t="s">
        <v>15</v>
      </c>
      <c r="B11" s="4">
        <v>4.1700000000000001E-2</v>
      </c>
      <c r="C11" s="2">
        <f>+B11*C5</f>
        <v>59359.950000000004</v>
      </c>
      <c r="D11" s="4">
        <v>4.1700000000000001E-2</v>
      </c>
      <c r="E11" s="2">
        <f>+D11*E5</f>
        <v>59359.950000000004</v>
      </c>
      <c r="F11" s="4">
        <v>4.1700000000000001E-2</v>
      </c>
      <c r="G11" s="2">
        <f>+F11*G5</f>
        <v>63934.241166059997</v>
      </c>
      <c r="H11" s="4">
        <v>4.1700000000000001E-2</v>
      </c>
      <c r="I11" s="2">
        <f>+H11*I5</f>
        <v>73715.810166059993</v>
      </c>
      <c r="J11" s="4">
        <v>4.1700000000000001E-2</v>
      </c>
      <c r="K11" s="2">
        <f>+J11*K5</f>
        <v>73715.812309439993</v>
      </c>
      <c r="L11" s="4">
        <v>4.1700000000000001E-2</v>
      </c>
      <c r="M11" s="2">
        <f>+L11*M5</f>
        <v>87517.288848119992</v>
      </c>
      <c r="N11" s="4">
        <v>4.1700000000000001E-2</v>
      </c>
      <c r="O11" s="2">
        <f>+N11*O5</f>
        <v>72396.714657703385</v>
      </c>
      <c r="P11" s="4">
        <v>4.1700000000000001E-2</v>
      </c>
      <c r="Q11" s="2">
        <f>+P11*Q5</f>
        <v>29679.975000000002</v>
      </c>
      <c r="R11" s="4">
        <v>4.1700000000000001E-2</v>
      </c>
      <c r="S11" s="2">
        <f>+R11*S5</f>
        <v>103173.94343332843</v>
      </c>
    </row>
    <row r="12" spans="1:19" x14ac:dyDescent="0.25">
      <c r="A12" s="3" t="s">
        <v>16</v>
      </c>
      <c r="B12" s="64">
        <f>SUM(C8:C11)</f>
        <v>346070.05</v>
      </c>
      <c r="C12" s="65"/>
      <c r="D12" s="64">
        <f>+SUM(E8:E11)</f>
        <v>346070.05</v>
      </c>
      <c r="E12" s="65"/>
      <c r="F12" s="64">
        <f>+SUM(G8:G11)</f>
        <v>370016.51910193998</v>
      </c>
      <c r="G12" s="65"/>
      <c r="H12" s="64">
        <f>+SUM(I8:I11)</f>
        <v>421223.15010193997</v>
      </c>
      <c r="I12" s="65"/>
      <c r="J12" s="64">
        <f>+SUM(K8:K11)</f>
        <v>421223.16132255999</v>
      </c>
      <c r="K12" s="65"/>
      <c r="L12" s="64">
        <f>+SUM(M8:M11)</f>
        <v>493474.05648787995</v>
      </c>
      <c r="M12" s="65"/>
      <c r="N12" s="64">
        <f>+SUM(O8:O11)</f>
        <v>414317.66929920018</v>
      </c>
      <c r="O12" s="65"/>
      <c r="P12" s="64">
        <f>SUM(Q8:Q11)</f>
        <v>190695.02499999999</v>
      </c>
      <c r="Q12" s="65"/>
      <c r="R12" s="64">
        <f>SUM(S8:S11)</f>
        <v>575436.83097111736</v>
      </c>
      <c r="S12" s="65"/>
    </row>
    <row r="13" spans="1:19" x14ac:dyDescent="0.25">
      <c r="A13" s="1" t="s">
        <v>17</v>
      </c>
      <c r="B13" s="4">
        <v>8.5000000000000006E-2</v>
      </c>
      <c r="C13" s="2">
        <f t="shared" ref="C13:C18" si="1">+B13*$C$5</f>
        <v>120997.50000000001</v>
      </c>
      <c r="D13" s="4">
        <v>8.5000000000000006E-2</v>
      </c>
      <c r="E13" s="2">
        <f>+D13*$E$5</f>
        <v>120997.50000000001</v>
      </c>
      <c r="F13" s="4">
        <v>8.5000000000000006E-2</v>
      </c>
      <c r="G13" s="2">
        <f t="shared" ref="G13:G18" si="2">+F13*$G$5</f>
        <v>130321.59470300001</v>
      </c>
      <c r="H13" s="4">
        <v>8.5000000000000006E-2</v>
      </c>
      <c r="I13" s="2">
        <f t="shared" ref="I13:I18" si="3">+H13*$I$5</f>
        <v>150260.04470299999</v>
      </c>
      <c r="J13" s="4">
        <v>8.5000000000000006E-2</v>
      </c>
      <c r="K13" s="2">
        <f t="shared" ref="K13:K18" si="4">+J13*$K$5</f>
        <v>150260.04907199999</v>
      </c>
      <c r="L13" s="4">
        <v>8.5000000000000006E-2</v>
      </c>
      <c r="M13" s="2">
        <f t="shared" ref="M13:M18" si="5">+L13*$M$5</f>
        <v>178392.55520599999</v>
      </c>
      <c r="N13" s="4">
        <v>8.5000000000000006E-2</v>
      </c>
      <c r="O13" s="2">
        <f>+N13*$O$5</f>
        <v>147571.24090898773</v>
      </c>
      <c r="P13" s="4">
        <v>8.5000000000000006E-2</v>
      </c>
      <c r="Q13" s="2">
        <f t="shared" ref="Q13:Q18" si="6">+P13*$Q$5</f>
        <v>60498.750000000007</v>
      </c>
      <c r="R13" s="4">
        <v>8.5000000000000006E-2</v>
      </c>
      <c r="S13" s="2">
        <f t="shared" ref="S13:S18" si="7">+R13*$S$5</f>
        <v>210306.59932453037</v>
      </c>
    </row>
    <row r="14" spans="1:19" x14ac:dyDescent="0.25">
      <c r="A14" s="1" t="s">
        <v>18</v>
      </c>
      <c r="B14" s="4">
        <v>0.12</v>
      </c>
      <c r="C14" s="2">
        <f t="shared" si="1"/>
        <v>170820</v>
      </c>
      <c r="D14" s="4">
        <v>0.12</v>
      </c>
      <c r="E14" s="2">
        <f t="shared" ref="E14:E18" si="8">+D14*$E$5</f>
        <v>170820</v>
      </c>
      <c r="F14" s="4">
        <v>0.12</v>
      </c>
      <c r="G14" s="2">
        <f t="shared" si="2"/>
        <v>183983.42781599998</v>
      </c>
      <c r="H14" s="4">
        <v>0.12</v>
      </c>
      <c r="I14" s="2">
        <f t="shared" si="3"/>
        <v>212131.82781599998</v>
      </c>
      <c r="J14" s="4">
        <v>0.12</v>
      </c>
      <c r="K14" s="2">
        <f t="shared" si="4"/>
        <v>212131.833984</v>
      </c>
      <c r="L14" s="4">
        <v>0.12</v>
      </c>
      <c r="M14" s="2">
        <f t="shared" si="5"/>
        <v>251848.31323199999</v>
      </c>
      <c r="N14" s="4">
        <v>0.12</v>
      </c>
      <c r="O14" s="2">
        <f t="shared" ref="O14:O18" si="9">+N14*$O$5</f>
        <v>208335.86951857089</v>
      </c>
      <c r="P14" s="4">
        <v>0.12</v>
      </c>
      <c r="Q14" s="2">
        <f t="shared" si="6"/>
        <v>85410</v>
      </c>
      <c r="R14" s="4">
        <v>0.12</v>
      </c>
      <c r="S14" s="2">
        <f t="shared" si="7"/>
        <v>296903.43434051343</v>
      </c>
    </row>
    <row r="15" spans="1:19" x14ac:dyDescent="0.25">
      <c r="A15" s="1" t="s">
        <v>19</v>
      </c>
      <c r="B15" s="4">
        <v>1.044E-2</v>
      </c>
      <c r="C15" s="2">
        <f t="shared" si="1"/>
        <v>14861.34</v>
      </c>
      <c r="D15" s="4">
        <v>6.9599999999999995E-2</v>
      </c>
      <c r="E15" s="2">
        <f t="shared" si="8"/>
        <v>99075.599999999991</v>
      </c>
      <c r="F15" s="4">
        <v>6.9599999999999995E-2</v>
      </c>
      <c r="G15" s="2">
        <f t="shared" si="2"/>
        <v>106710.38813327999</v>
      </c>
      <c r="H15" s="4">
        <v>6.9599999999999995E-2</v>
      </c>
      <c r="I15" s="2">
        <f t="shared" si="3"/>
        <v>123036.46013327999</v>
      </c>
      <c r="J15" s="4">
        <v>6.9599999999999995E-2</v>
      </c>
      <c r="K15" s="2">
        <f t="shared" si="4"/>
        <v>123036.46371071998</v>
      </c>
      <c r="L15" s="4">
        <v>6.9599999999999995E-2</v>
      </c>
      <c r="M15" s="2">
        <f t="shared" si="5"/>
        <v>146072.02167455998</v>
      </c>
      <c r="N15" s="4">
        <v>1.044E-2</v>
      </c>
      <c r="O15" s="2">
        <f t="shared" si="9"/>
        <v>18125.220648115668</v>
      </c>
      <c r="P15" s="4">
        <v>1.044E-2</v>
      </c>
      <c r="Q15" s="2">
        <f t="shared" si="6"/>
        <v>7430.67</v>
      </c>
      <c r="R15" s="4">
        <v>6.9599999999999995E-2</v>
      </c>
      <c r="S15" s="2">
        <f t="shared" si="7"/>
        <v>172203.9919174978</v>
      </c>
    </row>
    <row r="16" spans="1:19" x14ac:dyDescent="0.25">
      <c r="A16" s="1" t="s">
        <v>20</v>
      </c>
      <c r="B16" s="4">
        <v>0.04</v>
      </c>
      <c r="C16" s="2">
        <f t="shared" si="1"/>
        <v>56940</v>
      </c>
      <c r="D16" s="4">
        <v>0.04</v>
      </c>
      <c r="E16" s="2">
        <f t="shared" si="8"/>
        <v>56940</v>
      </c>
      <c r="F16" s="4">
        <v>0.04</v>
      </c>
      <c r="G16" s="2">
        <f t="shared" si="2"/>
        <v>61327.809271999999</v>
      </c>
      <c r="H16" s="4">
        <v>0.04</v>
      </c>
      <c r="I16" s="2">
        <f t="shared" si="3"/>
        <v>70710.609272000002</v>
      </c>
      <c r="J16" s="4">
        <v>0.04</v>
      </c>
      <c r="K16" s="2">
        <f t="shared" si="4"/>
        <v>70710.611327999999</v>
      </c>
      <c r="L16" s="4">
        <v>0.04</v>
      </c>
      <c r="M16" s="2">
        <f t="shared" si="5"/>
        <v>83949.437743999995</v>
      </c>
      <c r="N16" s="4">
        <v>0.04</v>
      </c>
      <c r="O16" s="2">
        <f t="shared" si="9"/>
        <v>69445.289839523626</v>
      </c>
      <c r="P16" s="4">
        <v>0.04</v>
      </c>
      <c r="Q16" s="2">
        <f t="shared" si="6"/>
        <v>28470</v>
      </c>
      <c r="R16" s="4">
        <v>0.04</v>
      </c>
      <c r="S16" s="2">
        <f t="shared" si="7"/>
        <v>98967.811446837819</v>
      </c>
    </row>
    <row r="17" spans="1:19" x14ac:dyDescent="0.25">
      <c r="A17" s="1" t="s">
        <v>21</v>
      </c>
      <c r="B17" s="4">
        <v>0.03</v>
      </c>
      <c r="C17" s="2">
        <f>+B17*$C$5</f>
        <v>42705</v>
      </c>
      <c r="D17" s="4">
        <v>0.03</v>
      </c>
      <c r="E17" s="2">
        <f t="shared" si="8"/>
        <v>42705</v>
      </c>
      <c r="F17" s="4">
        <v>0.03</v>
      </c>
      <c r="G17" s="2">
        <f>+F17*$G$5</f>
        <v>45995.856953999995</v>
      </c>
      <c r="H17" s="4">
        <v>0.03</v>
      </c>
      <c r="I17" s="2">
        <f>+H17*$I$5</f>
        <v>53032.956953999994</v>
      </c>
      <c r="J17" s="4">
        <v>0.03</v>
      </c>
      <c r="K17" s="2">
        <f t="shared" si="4"/>
        <v>53032.958495999999</v>
      </c>
      <c r="L17" s="4">
        <v>0.03</v>
      </c>
      <c r="M17" s="2">
        <f>+L17*$M$5</f>
        <v>62962.078307999996</v>
      </c>
      <c r="N17" s="4">
        <v>0.03</v>
      </c>
      <c r="O17" s="2">
        <f t="shared" si="9"/>
        <v>52083.967379642723</v>
      </c>
      <c r="P17" s="4">
        <v>0.03</v>
      </c>
      <c r="Q17" s="2">
        <f t="shared" si="6"/>
        <v>21352.5</v>
      </c>
      <c r="R17" s="4">
        <v>0.03</v>
      </c>
      <c r="S17" s="2">
        <f t="shared" si="7"/>
        <v>74225.858585128357</v>
      </c>
    </row>
    <row r="18" spans="1:19" x14ac:dyDescent="0.25">
      <c r="A18" s="1" t="s">
        <v>22</v>
      </c>
      <c r="B18" s="4">
        <v>0.02</v>
      </c>
      <c r="C18" s="2">
        <f t="shared" si="1"/>
        <v>28470</v>
      </c>
      <c r="D18" s="4">
        <v>0.02</v>
      </c>
      <c r="E18" s="2">
        <f t="shared" si="8"/>
        <v>28470</v>
      </c>
      <c r="F18" s="4">
        <v>0.02</v>
      </c>
      <c r="G18" s="2">
        <f t="shared" si="2"/>
        <v>30663.904635999999</v>
      </c>
      <c r="H18" s="4">
        <v>0.02</v>
      </c>
      <c r="I18" s="2">
        <f t="shared" si="3"/>
        <v>35355.304636000001</v>
      </c>
      <c r="J18" s="4">
        <v>0.02</v>
      </c>
      <c r="K18" s="2">
        <f t="shared" si="4"/>
        <v>35355.305664</v>
      </c>
      <c r="L18" s="4">
        <v>0.02</v>
      </c>
      <c r="M18" s="2">
        <f t="shared" si="5"/>
        <v>41974.718871999998</v>
      </c>
      <c r="N18" s="4">
        <v>0.02</v>
      </c>
      <c r="O18" s="2">
        <f t="shared" si="9"/>
        <v>34722.644919761813</v>
      </c>
      <c r="P18" s="4">
        <v>0.02</v>
      </c>
      <c r="Q18" s="2">
        <f t="shared" si="6"/>
        <v>14235</v>
      </c>
      <c r="R18" s="4">
        <v>0.02</v>
      </c>
      <c r="S18" s="2">
        <f t="shared" si="7"/>
        <v>49483.905723418909</v>
      </c>
    </row>
    <row r="19" spans="1:19" x14ac:dyDescent="0.25">
      <c r="A19" s="3" t="s">
        <v>16</v>
      </c>
      <c r="B19" s="62">
        <f>SUM(C13:C18)</f>
        <v>434793.84</v>
      </c>
      <c r="C19" s="63"/>
      <c r="D19" s="62">
        <f>+SUM(E13:E18)</f>
        <v>519008.1</v>
      </c>
      <c r="E19" s="63"/>
      <c r="F19" s="62">
        <f>+SUM(G13:G18)</f>
        <v>559002.98151427996</v>
      </c>
      <c r="G19" s="63"/>
      <c r="H19" s="64">
        <f>+SUM(I13:I18)</f>
        <v>644527.20351428003</v>
      </c>
      <c r="I19" s="65"/>
      <c r="J19" s="64">
        <f>+SUM(K13:K18)</f>
        <v>644527.22225471993</v>
      </c>
      <c r="K19" s="65"/>
      <c r="L19" s="64">
        <f>+SUM(M13:M18)</f>
        <v>765199.12503656</v>
      </c>
      <c r="M19" s="65"/>
      <c r="N19" s="64">
        <f>+SUM(O13:O18)</f>
        <v>530284.23321460246</v>
      </c>
      <c r="O19" s="65"/>
      <c r="P19" s="64">
        <f>SUM(Q13:Q18)</f>
        <v>217396.92</v>
      </c>
      <c r="Q19" s="65"/>
      <c r="R19" s="64">
        <f>SUM(S13:S18)</f>
        <v>902091.6013379267</v>
      </c>
      <c r="S19" s="65"/>
    </row>
    <row r="20" spans="1:19" x14ac:dyDescent="0.25">
      <c r="A20" s="3" t="s">
        <v>23</v>
      </c>
      <c r="B20" s="60">
        <f>+B7+B12+B19</f>
        <v>2404363.89</v>
      </c>
      <c r="C20" s="61"/>
      <c r="D20" s="60">
        <f>+D7+D12+D19</f>
        <v>2488578.15</v>
      </c>
      <c r="E20" s="61"/>
      <c r="F20" s="60">
        <f>+F7+F12+F19</f>
        <v>2662214.73241622</v>
      </c>
      <c r="G20" s="61"/>
      <c r="H20" s="60">
        <f>+H7+H12+H19</f>
        <v>3033515.5854162201</v>
      </c>
      <c r="I20" s="61"/>
      <c r="J20" s="60">
        <f>+J7+J12+J19</f>
        <v>3033515.6667772802</v>
      </c>
      <c r="K20" s="61"/>
      <c r="L20" s="60">
        <f>+L7+L12+L19</f>
        <v>3557409.1251244396</v>
      </c>
      <c r="M20" s="61"/>
      <c r="N20" s="60">
        <f>+N7+N12+N19</f>
        <v>2880734.148501893</v>
      </c>
      <c r="O20" s="61"/>
      <c r="P20" s="60">
        <f>+P7+P12+P19</f>
        <v>1319841.9449999998</v>
      </c>
      <c r="Q20" s="61"/>
      <c r="R20" s="60">
        <f>+R7+R12+R19</f>
        <v>4151723.7184799891</v>
      </c>
      <c r="S20" s="61"/>
    </row>
    <row r="21" spans="1:19" x14ac:dyDescent="0.25">
      <c r="A21" s="3" t="s">
        <v>24</v>
      </c>
      <c r="B21" s="57">
        <v>23</v>
      </c>
      <c r="C21" s="57"/>
      <c r="D21" s="57">
        <v>5</v>
      </c>
      <c r="E21" s="57"/>
      <c r="F21" s="57">
        <v>6</v>
      </c>
      <c r="G21" s="57"/>
      <c r="H21" s="57">
        <v>1</v>
      </c>
      <c r="I21" s="57"/>
      <c r="J21" s="57">
        <v>6</v>
      </c>
      <c r="K21" s="57"/>
      <c r="L21" s="57">
        <v>4</v>
      </c>
      <c r="M21" s="57"/>
      <c r="N21" s="57">
        <v>1</v>
      </c>
      <c r="O21" s="57"/>
      <c r="P21" s="58">
        <v>1</v>
      </c>
      <c r="Q21" s="59"/>
      <c r="R21" s="58">
        <v>4</v>
      </c>
      <c r="S21" s="59"/>
    </row>
    <row r="22" spans="1:19" ht="30" x14ac:dyDescent="0.25">
      <c r="A22" s="3" t="s">
        <v>25</v>
      </c>
      <c r="B22" s="49">
        <f>+B20*B21</f>
        <v>55300369.470000006</v>
      </c>
      <c r="C22" s="50"/>
      <c r="D22" s="49">
        <f>+D20*D21</f>
        <v>12442890.75</v>
      </c>
      <c r="E22" s="50"/>
      <c r="F22" s="49">
        <f>+F20*F21</f>
        <v>15973288.39449732</v>
      </c>
      <c r="G22" s="50"/>
      <c r="H22" s="49">
        <f>+H20*H21</f>
        <v>3033515.5854162201</v>
      </c>
      <c r="I22" s="50"/>
      <c r="J22" s="49">
        <f>+J20*J21</f>
        <v>18201094.000663683</v>
      </c>
      <c r="K22" s="50"/>
      <c r="L22" s="49">
        <f>+L20*L21</f>
        <v>14229636.500497758</v>
      </c>
      <c r="M22" s="50"/>
      <c r="N22" s="49">
        <f>+N20*N21</f>
        <v>2880734.148501893</v>
      </c>
      <c r="O22" s="50"/>
      <c r="P22" s="49">
        <f>+P20*P21</f>
        <v>1319841.9449999998</v>
      </c>
      <c r="Q22" s="50"/>
      <c r="R22" s="49">
        <f>+R20*R21</f>
        <v>16606894.873919956</v>
      </c>
      <c r="S22" s="50"/>
    </row>
    <row r="23" spans="1:19" x14ac:dyDescent="0.25">
      <c r="A23" s="3" t="s">
        <v>26</v>
      </c>
      <c r="B23" s="51">
        <f>+SUM(B22:S22)</f>
        <v>139988265.66849682</v>
      </c>
      <c r="C23" s="52"/>
      <c r="D23" s="52"/>
      <c r="E23" s="52"/>
      <c r="F23" s="52"/>
      <c r="G23" s="52"/>
      <c r="H23" s="52"/>
      <c r="I23" s="52"/>
      <c r="J23" s="52"/>
      <c r="K23" s="52"/>
      <c r="L23" s="52"/>
      <c r="M23" s="52"/>
      <c r="N23" s="52"/>
      <c r="O23" s="52"/>
      <c r="P23" s="52"/>
      <c r="Q23" s="52"/>
      <c r="R23" s="52"/>
      <c r="S23" s="53"/>
    </row>
    <row r="24" spans="1:19" x14ac:dyDescent="0.25">
      <c r="A24" s="3" t="s">
        <v>27</v>
      </c>
      <c r="B24" s="54"/>
      <c r="C24" s="55"/>
      <c r="D24" s="55"/>
      <c r="E24" s="55"/>
      <c r="F24" s="55"/>
      <c r="G24" s="55"/>
      <c r="H24" s="55"/>
      <c r="I24" s="55"/>
      <c r="J24" s="55"/>
      <c r="K24" s="55"/>
      <c r="L24" s="55"/>
      <c r="M24" s="55"/>
      <c r="N24" s="55"/>
      <c r="O24" s="55"/>
      <c r="P24" s="55"/>
      <c r="Q24" s="55"/>
      <c r="R24" s="55"/>
      <c r="S24" s="56"/>
    </row>
    <row r="25" spans="1:19" x14ac:dyDescent="0.25">
      <c r="A25" s="3" t="s">
        <v>28</v>
      </c>
      <c r="B25" s="54"/>
      <c r="C25" s="55"/>
      <c r="D25" s="55"/>
      <c r="E25" s="55"/>
      <c r="F25" s="55"/>
      <c r="G25" s="55"/>
      <c r="H25" s="55"/>
      <c r="I25" s="55"/>
      <c r="J25" s="55"/>
      <c r="K25" s="55"/>
      <c r="L25" s="55"/>
      <c r="M25" s="55"/>
      <c r="N25" s="55"/>
      <c r="O25" s="55"/>
      <c r="P25" s="55"/>
      <c r="Q25" s="55"/>
      <c r="R25" s="55"/>
      <c r="S25" s="56"/>
    </row>
    <row r="26" spans="1:19" x14ac:dyDescent="0.25">
      <c r="A26" s="3" t="s">
        <v>29</v>
      </c>
      <c r="B26" s="42">
        <f>+B23*(B24+B25)</f>
        <v>0</v>
      </c>
      <c r="C26" s="43"/>
      <c r="D26" s="43"/>
      <c r="E26" s="43"/>
      <c r="F26" s="43"/>
      <c r="G26" s="43"/>
      <c r="H26" s="43"/>
      <c r="I26" s="43"/>
      <c r="J26" s="43"/>
      <c r="K26" s="43"/>
      <c r="L26" s="43"/>
      <c r="M26" s="43"/>
      <c r="N26" s="43"/>
      <c r="O26" s="43"/>
      <c r="P26" s="43"/>
      <c r="Q26" s="43"/>
      <c r="R26" s="43"/>
      <c r="S26" s="44"/>
    </row>
    <row r="27" spans="1:19" x14ac:dyDescent="0.25">
      <c r="A27" s="3" t="s">
        <v>30</v>
      </c>
      <c r="B27" s="42">
        <f>19%*B26</f>
        <v>0</v>
      </c>
      <c r="C27" s="43"/>
      <c r="D27" s="43"/>
      <c r="E27" s="43"/>
      <c r="F27" s="43"/>
      <c r="G27" s="43"/>
      <c r="H27" s="43"/>
      <c r="I27" s="43"/>
      <c r="J27" s="43"/>
      <c r="K27" s="43"/>
      <c r="L27" s="43"/>
      <c r="M27" s="43"/>
      <c r="N27" s="43"/>
      <c r="O27" s="43"/>
      <c r="P27" s="43"/>
      <c r="Q27" s="43"/>
      <c r="R27" s="43"/>
      <c r="S27" s="44"/>
    </row>
    <row r="28" spans="1:19" x14ac:dyDescent="0.25">
      <c r="A28" s="5" t="s">
        <v>31</v>
      </c>
      <c r="B28" s="70">
        <f>+B23+B26+B27</f>
        <v>139988265.66849682</v>
      </c>
      <c r="C28" s="71"/>
      <c r="D28" s="71"/>
      <c r="E28" s="71"/>
      <c r="F28" s="71"/>
      <c r="G28" s="71"/>
      <c r="H28" s="71"/>
      <c r="I28" s="71"/>
      <c r="J28" s="71"/>
      <c r="K28" s="71"/>
      <c r="L28" s="71"/>
      <c r="M28" s="71"/>
      <c r="N28" s="71"/>
      <c r="O28" s="71"/>
      <c r="P28" s="71"/>
      <c r="Q28" s="71"/>
      <c r="R28" s="71"/>
      <c r="S28" s="72"/>
    </row>
    <row r="30" spans="1:19" x14ac:dyDescent="0.25">
      <c r="A30" s="73" t="s">
        <v>32</v>
      </c>
      <c r="B30" s="73"/>
      <c r="C30" s="73"/>
      <c r="D30" s="73"/>
      <c r="E30" s="73"/>
      <c r="F30" s="73"/>
      <c r="G30" s="73"/>
      <c r="H30" s="73"/>
      <c r="I30" s="73"/>
      <c r="J30" s="73"/>
      <c r="K30" s="73"/>
      <c r="L30" s="73"/>
      <c r="M30" s="73"/>
      <c r="N30" s="73"/>
      <c r="O30" s="73"/>
      <c r="P30" s="73"/>
      <c r="Q30" s="73"/>
      <c r="R30" s="73"/>
      <c r="S30" s="73"/>
    </row>
    <row r="31" spans="1:19" ht="7.5" customHeight="1" x14ac:dyDescent="0.25">
      <c r="A31" s="74"/>
      <c r="B31" s="74"/>
      <c r="C31" s="74"/>
      <c r="D31" s="74"/>
      <c r="E31" s="74"/>
      <c r="F31" s="74"/>
      <c r="G31" s="74"/>
      <c r="H31" s="74"/>
      <c r="I31" s="74"/>
      <c r="J31" s="74"/>
      <c r="K31" s="74"/>
      <c r="L31" s="74"/>
      <c r="M31" s="74"/>
      <c r="N31" s="74"/>
      <c r="O31" s="74"/>
      <c r="P31" s="74"/>
      <c r="Q31" s="74"/>
      <c r="R31" s="74"/>
      <c r="S31" s="74"/>
    </row>
    <row r="32" spans="1:19" ht="7.5" customHeight="1" x14ac:dyDescent="0.25">
      <c r="A32" s="74"/>
      <c r="B32" s="74"/>
      <c r="C32" s="74"/>
      <c r="D32" s="74"/>
      <c r="E32" s="74"/>
      <c r="F32" s="74"/>
      <c r="G32" s="74"/>
      <c r="H32" s="74"/>
      <c r="I32" s="74"/>
      <c r="J32" s="74"/>
      <c r="K32" s="74"/>
      <c r="L32" s="74"/>
      <c r="M32" s="74"/>
      <c r="N32" s="74"/>
      <c r="O32" s="74"/>
      <c r="P32" s="74"/>
      <c r="Q32" s="74"/>
      <c r="R32" s="74"/>
      <c r="S32" s="74"/>
    </row>
    <row r="33" spans="1:19" ht="15.75" thickBot="1" x14ac:dyDescent="0.3">
      <c r="A33" s="75" t="s">
        <v>39</v>
      </c>
      <c r="B33" s="76"/>
      <c r="C33" s="76"/>
      <c r="D33" s="76"/>
      <c r="E33" s="76"/>
      <c r="F33" s="76"/>
      <c r="G33" s="76"/>
      <c r="H33" s="76"/>
      <c r="I33" s="76"/>
      <c r="J33" s="76"/>
      <c r="K33" s="76"/>
      <c r="L33" s="76"/>
      <c r="M33" s="76"/>
      <c r="N33" s="76"/>
      <c r="O33" s="76"/>
      <c r="P33" s="76"/>
      <c r="Q33" s="76"/>
      <c r="R33" s="76"/>
      <c r="S33" s="76"/>
    </row>
    <row r="34" spans="1:19" ht="37.5" customHeight="1" x14ac:dyDescent="0.25">
      <c r="A34" s="6"/>
      <c r="B34" s="77" t="s">
        <v>1</v>
      </c>
      <c r="C34" s="78"/>
      <c r="D34" s="77" t="s">
        <v>40</v>
      </c>
      <c r="E34" s="78"/>
      <c r="F34" s="78" t="s">
        <v>41</v>
      </c>
      <c r="G34" s="78"/>
      <c r="H34" s="78" t="s">
        <v>36</v>
      </c>
      <c r="I34" s="78"/>
      <c r="J34" s="78" t="s">
        <v>2</v>
      </c>
      <c r="K34" s="78"/>
      <c r="L34" s="78" t="s">
        <v>3</v>
      </c>
      <c r="M34" s="78"/>
      <c r="N34" s="78" t="s">
        <v>4</v>
      </c>
      <c r="O34" s="78"/>
      <c r="P34" s="79" t="s">
        <v>42</v>
      </c>
      <c r="Q34" s="79"/>
      <c r="R34" s="78" t="s">
        <v>5</v>
      </c>
      <c r="S34" s="80"/>
    </row>
    <row r="35" spans="1:19" ht="15" customHeight="1" x14ac:dyDescent="0.25">
      <c r="A35" s="68" t="s">
        <v>6</v>
      </c>
      <c r="B35" s="69" t="s">
        <v>75</v>
      </c>
      <c r="C35" s="66"/>
      <c r="D35" s="69" t="s">
        <v>75</v>
      </c>
      <c r="E35" s="66"/>
      <c r="F35" s="69" t="s">
        <v>75</v>
      </c>
      <c r="G35" s="66"/>
      <c r="H35" s="69" t="s">
        <v>75</v>
      </c>
      <c r="I35" s="66"/>
      <c r="J35" s="69" t="s">
        <v>75</v>
      </c>
      <c r="K35" s="66"/>
      <c r="L35" s="69" t="s">
        <v>75</v>
      </c>
      <c r="M35" s="66"/>
      <c r="N35" s="69" t="s">
        <v>75</v>
      </c>
      <c r="O35" s="66"/>
      <c r="P35" s="69" t="s">
        <v>75</v>
      </c>
      <c r="Q35" s="66"/>
      <c r="R35" s="69" t="s">
        <v>75</v>
      </c>
      <c r="S35" s="66"/>
    </row>
    <row r="36" spans="1:19" ht="15.75" thickBot="1" x14ac:dyDescent="0.3">
      <c r="A36" s="68"/>
      <c r="B36" s="7" t="s">
        <v>7</v>
      </c>
      <c r="C36" s="8" t="s">
        <v>8</v>
      </c>
      <c r="D36" s="7" t="s">
        <v>7</v>
      </c>
      <c r="E36" s="8" t="s">
        <v>8</v>
      </c>
      <c r="F36" s="8" t="s">
        <v>7</v>
      </c>
      <c r="G36" s="8" t="s">
        <v>8</v>
      </c>
      <c r="H36" s="8" t="s">
        <v>7</v>
      </c>
      <c r="I36" s="8" t="s">
        <v>8</v>
      </c>
      <c r="J36" s="8" t="s">
        <v>7</v>
      </c>
      <c r="K36" s="8" t="s">
        <v>8</v>
      </c>
      <c r="L36" s="8" t="s">
        <v>7</v>
      </c>
      <c r="M36" s="8" t="s">
        <v>8</v>
      </c>
      <c r="N36" s="8" t="s">
        <v>7</v>
      </c>
      <c r="O36" s="8" t="s">
        <v>8</v>
      </c>
      <c r="P36" s="23" t="s">
        <v>7</v>
      </c>
      <c r="Q36" s="23" t="s">
        <v>8</v>
      </c>
      <c r="R36" s="8" t="s">
        <v>7</v>
      </c>
      <c r="S36" s="9" t="s">
        <v>8</v>
      </c>
    </row>
    <row r="37" spans="1:19" s="12" customFormat="1" x14ac:dyDescent="0.25">
      <c r="A37" s="10" t="s">
        <v>9</v>
      </c>
      <c r="B37" s="11"/>
      <c r="C37" s="19">
        <v>1423500</v>
      </c>
      <c r="D37" s="11"/>
      <c r="E37" s="19">
        <f>+C37</f>
        <v>1423500</v>
      </c>
      <c r="F37" s="11"/>
      <c r="G37" s="19">
        <f>+(1399667*1.0954)</f>
        <v>1533195.2318</v>
      </c>
      <c r="H37" s="11"/>
      <c r="I37" s="19">
        <f>+(1399667*1.0954)+234570</f>
        <v>1767765.2318</v>
      </c>
      <c r="J37" s="11"/>
      <c r="K37" s="19">
        <f>(1613808*1.0954)</f>
        <v>1767765.2831999999</v>
      </c>
      <c r="L37" s="11"/>
      <c r="M37" s="19">
        <f>(1815534*1.0954)+110000</f>
        <v>2098735.9435999999</v>
      </c>
      <c r="N37" s="11"/>
      <c r="O37" s="19">
        <f>1584929.93060808*1.0954</f>
        <v>1736132.2459880908</v>
      </c>
      <c r="P37" s="11"/>
      <c r="Q37" s="19">
        <f>+C37/2</f>
        <v>711750</v>
      </c>
      <c r="R37" s="11"/>
      <c r="S37" s="19">
        <f>(2121777.69414912*1.0954)+150000</f>
        <v>2474195.2861709455</v>
      </c>
    </row>
    <row r="38" spans="1:19" s="12" customFormat="1" x14ac:dyDescent="0.25">
      <c r="A38" s="10" t="s">
        <v>10</v>
      </c>
      <c r="B38" s="13"/>
      <c r="C38" s="14">
        <v>200000</v>
      </c>
      <c r="D38" s="13"/>
      <c r="E38" s="14">
        <f>+C38</f>
        <v>200000</v>
      </c>
      <c r="F38" s="13"/>
      <c r="G38" s="14">
        <f>+E38</f>
        <v>200000</v>
      </c>
      <c r="H38" s="13"/>
      <c r="I38" s="14">
        <f>+G38</f>
        <v>200000</v>
      </c>
      <c r="J38" s="13"/>
      <c r="K38" s="14">
        <f>+I38</f>
        <v>200000</v>
      </c>
      <c r="L38" s="13"/>
      <c r="M38" s="14">
        <f>+K38</f>
        <v>200000</v>
      </c>
      <c r="N38" s="13"/>
      <c r="O38" s="14">
        <f>+M38</f>
        <v>200000</v>
      </c>
      <c r="P38" s="13"/>
      <c r="Q38" s="14">
        <f>+O38</f>
        <v>200000</v>
      </c>
      <c r="R38" s="13"/>
      <c r="S38" s="14">
        <f>+Q38</f>
        <v>200000</v>
      </c>
    </row>
    <row r="39" spans="1:19" s="12" customFormat="1" x14ac:dyDescent="0.25">
      <c r="A39" s="15" t="s">
        <v>11</v>
      </c>
      <c r="B39" s="67">
        <f>+C37+C38</f>
        <v>1623500</v>
      </c>
      <c r="C39" s="67"/>
      <c r="D39" s="67">
        <f>+E37+E38</f>
        <v>1623500</v>
      </c>
      <c r="E39" s="67"/>
      <c r="F39" s="67">
        <f>+G37+G38</f>
        <v>1733195.2318</v>
      </c>
      <c r="G39" s="67"/>
      <c r="H39" s="67">
        <f>+I37+I38</f>
        <v>1967765.2318</v>
      </c>
      <c r="I39" s="67"/>
      <c r="J39" s="67">
        <f>+K37+K38</f>
        <v>1967765.2831999999</v>
      </c>
      <c r="K39" s="67"/>
      <c r="L39" s="67">
        <f>+M37+M38</f>
        <v>2298735.9435999999</v>
      </c>
      <c r="M39" s="67"/>
      <c r="N39" s="67">
        <f>+O37+O38</f>
        <v>1936132.2459880908</v>
      </c>
      <c r="O39" s="67"/>
      <c r="P39" s="67">
        <f>+Q37+Q38</f>
        <v>911750</v>
      </c>
      <c r="Q39" s="67"/>
      <c r="R39" s="67">
        <f>+S37+S38</f>
        <v>2674195.2861709455</v>
      </c>
      <c r="S39" s="67"/>
    </row>
    <row r="40" spans="1:19" x14ac:dyDescent="0.25">
      <c r="A40" s="1" t="s">
        <v>12</v>
      </c>
      <c r="B40" s="4">
        <v>8.3299999999999999E-2</v>
      </c>
      <c r="C40" s="2">
        <f>+B40*$B$39</f>
        <v>135237.54999999999</v>
      </c>
      <c r="D40" s="4">
        <v>8.3299999999999999E-2</v>
      </c>
      <c r="E40" s="2">
        <f>+D40*$D$39</f>
        <v>135237.54999999999</v>
      </c>
      <c r="F40" s="4">
        <v>8.3299999999999999E-2</v>
      </c>
      <c r="G40" s="2">
        <f>+F40*$F$39</f>
        <v>144375.16280893999</v>
      </c>
      <c r="H40" s="4">
        <v>8.3299999999999999E-2</v>
      </c>
      <c r="I40" s="2">
        <f>+H40*$H$39</f>
        <v>163914.84380894</v>
      </c>
      <c r="J40" s="4">
        <v>8.3299999999999999E-2</v>
      </c>
      <c r="K40" s="2">
        <f>+J40*$J$39</f>
        <v>163914.84809056</v>
      </c>
      <c r="L40" s="4">
        <v>8.3299999999999999E-2</v>
      </c>
      <c r="M40" s="2">
        <f>+L40*$L$39</f>
        <v>191484.70410187999</v>
      </c>
      <c r="N40" s="4">
        <v>8.3299999999999999E-2</v>
      </c>
      <c r="O40" s="2">
        <f>+N40*$N$39</f>
        <v>161279.81609080796</v>
      </c>
      <c r="P40" s="4">
        <v>8.3299999999999999E-2</v>
      </c>
      <c r="Q40" s="2">
        <f>+P40*$P$39</f>
        <v>75948.774999999994</v>
      </c>
      <c r="R40" s="4">
        <v>8.3299999999999999E-2</v>
      </c>
      <c r="S40" s="2">
        <f>+R40*$R$39</f>
        <v>222760.46733803974</v>
      </c>
    </row>
    <row r="41" spans="1:19" x14ac:dyDescent="0.25">
      <c r="A41" s="1" t="s">
        <v>13</v>
      </c>
      <c r="B41" s="4">
        <v>8.3299999999999999E-2</v>
      </c>
      <c r="C41" s="2">
        <f t="shared" ref="C41:C42" si="10">+B41*$B$39</f>
        <v>135237.54999999999</v>
      </c>
      <c r="D41" s="4">
        <v>8.3299999999999999E-2</v>
      </c>
      <c r="E41" s="2">
        <f t="shared" ref="E41:E42" si="11">+D41*$D$39</f>
        <v>135237.54999999999</v>
      </c>
      <c r="F41" s="4">
        <v>8.3299999999999999E-2</v>
      </c>
      <c r="G41" s="2">
        <f t="shared" ref="G41:G42" si="12">+F41*$F$39</f>
        <v>144375.16280893999</v>
      </c>
      <c r="H41" s="4">
        <v>8.3299999999999999E-2</v>
      </c>
      <c r="I41" s="2">
        <f t="shared" ref="I41:I42" si="13">+H41*$H$39</f>
        <v>163914.84380894</v>
      </c>
      <c r="J41" s="4">
        <v>8.3299999999999999E-2</v>
      </c>
      <c r="K41" s="2">
        <f t="shared" ref="K41:K42" si="14">+J41*$J$39</f>
        <v>163914.84809056</v>
      </c>
      <c r="L41" s="4">
        <v>8.3299999999999999E-2</v>
      </c>
      <c r="M41" s="2">
        <f t="shared" ref="M41:M42" si="15">+L41*$L$39</f>
        <v>191484.70410187999</v>
      </c>
      <c r="N41" s="4">
        <v>8.3299999999999999E-2</v>
      </c>
      <c r="O41" s="2">
        <f>+N41*$N$7</f>
        <v>161279.81609080796</v>
      </c>
      <c r="P41" s="4">
        <v>8.3299999999999999E-2</v>
      </c>
      <c r="Q41" s="2">
        <f t="shared" ref="Q41:Q42" si="16">+P41*$P$39</f>
        <v>75948.774999999994</v>
      </c>
      <c r="R41" s="4">
        <v>8.3299999999999999E-2</v>
      </c>
      <c r="S41" s="2">
        <f t="shared" ref="S41:S42" si="17">+R41*$R$39</f>
        <v>222760.46733803974</v>
      </c>
    </row>
    <row r="42" spans="1:19" x14ac:dyDescent="0.25">
      <c r="A42" s="1" t="s">
        <v>14</v>
      </c>
      <c r="B42" s="4">
        <v>0.01</v>
      </c>
      <c r="C42" s="2">
        <f t="shared" si="10"/>
        <v>16235</v>
      </c>
      <c r="D42" s="4">
        <v>0.01</v>
      </c>
      <c r="E42" s="2">
        <f t="shared" si="11"/>
        <v>16235</v>
      </c>
      <c r="F42" s="4">
        <v>0.01</v>
      </c>
      <c r="G42" s="2">
        <f t="shared" si="12"/>
        <v>17331.952318</v>
      </c>
      <c r="H42" s="4">
        <v>0.01</v>
      </c>
      <c r="I42" s="2">
        <f t="shared" si="13"/>
        <v>19677.652318</v>
      </c>
      <c r="J42" s="4">
        <v>0.01</v>
      </c>
      <c r="K42" s="2">
        <f t="shared" si="14"/>
        <v>19677.652832</v>
      </c>
      <c r="L42" s="4">
        <v>0.01</v>
      </c>
      <c r="M42" s="2">
        <f t="shared" si="15"/>
        <v>22987.359435999999</v>
      </c>
      <c r="N42" s="4">
        <v>0.01</v>
      </c>
      <c r="O42" s="2">
        <f>+N42*$N$7</f>
        <v>19361.322459880907</v>
      </c>
      <c r="P42" s="4">
        <v>0.01</v>
      </c>
      <c r="Q42" s="2">
        <f t="shared" si="16"/>
        <v>9117.5</v>
      </c>
      <c r="R42" s="4">
        <v>0.01</v>
      </c>
      <c r="S42" s="2">
        <f t="shared" si="17"/>
        <v>26741.952861709455</v>
      </c>
    </row>
    <row r="43" spans="1:19" x14ac:dyDescent="0.25">
      <c r="A43" s="1" t="s">
        <v>15</v>
      </c>
      <c r="B43" s="4">
        <v>4.1700000000000001E-2</v>
      </c>
      <c r="C43" s="2">
        <f>+B43*C37</f>
        <v>59359.950000000004</v>
      </c>
      <c r="D43" s="4">
        <v>4.1700000000000001E-2</v>
      </c>
      <c r="E43" s="2">
        <f>+D43*E37</f>
        <v>59359.950000000004</v>
      </c>
      <c r="F43" s="4">
        <v>4.1700000000000001E-2</v>
      </c>
      <c r="G43" s="2">
        <f>+F43*G37</f>
        <v>63934.241166059997</v>
      </c>
      <c r="H43" s="4">
        <v>4.1700000000000001E-2</v>
      </c>
      <c r="I43" s="2">
        <f>+H43*$I$37</f>
        <v>73715.810166059993</v>
      </c>
      <c r="J43" s="4">
        <v>4.1700000000000001E-2</v>
      </c>
      <c r="K43" s="2">
        <f>+J43*K37</f>
        <v>73715.812309439993</v>
      </c>
      <c r="L43" s="4">
        <v>4.1700000000000001E-2</v>
      </c>
      <c r="M43" s="2">
        <f>+L43*M37</f>
        <v>87517.288848119992</v>
      </c>
      <c r="N43" s="4">
        <v>4.1700000000000001E-2</v>
      </c>
      <c r="O43" s="2">
        <f>+N43*O37</f>
        <v>72396.714657703385</v>
      </c>
      <c r="P43" s="4">
        <v>4.1700000000000001E-2</v>
      </c>
      <c r="Q43" s="2">
        <f>+P43*Q37</f>
        <v>29679.975000000002</v>
      </c>
      <c r="R43" s="4">
        <v>4.1700000000000001E-2</v>
      </c>
      <c r="S43" s="2">
        <f>+R43*S37</f>
        <v>103173.94343332843</v>
      </c>
    </row>
    <row r="44" spans="1:19" x14ac:dyDescent="0.25">
      <c r="A44" s="3" t="s">
        <v>16</v>
      </c>
      <c r="B44" s="64">
        <f>SUM(C40:C43)</f>
        <v>346070.05</v>
      </c>
      <c r="C44" s="65"/>
      <c r="D44" s="64">
        <f>+SUM(E40:E43)</f>
        <v>346070.05</v>
      </c>
      <c r="E44" s="65"/>
      <c r="F44" s="64">
        <f>+SUM(G40:G43)</f>
        <v>370016.51910193998</v>
      </c>
      <c r="G44" s="65"/>
      <c r="H44" s="64">
        <f>+SUM(I40:I43)</f>
        <v>421223.15010193997</v>
      </c>
      <c r="I44" s="65"/>
      <c r="J44" s="64">
        <f>+SUM(K40:K43)</f>
        <v>421223.16132255999</v>
      </c>
      <c r="K44" s="65"/>
      <c r="L44" s="64">
        <f>+SUM(M40:M43)</f>
        <v>493474.05648787995</v>
      </c>
      <c r="M44" s="65"/>
      <c r="N44" s="64">
        <f>+SUM(O40:O43)</f>
        <v>414317.66929920018</v>
      </c>
      <c r="O44" s="65"/>
      <c r="P44" s="64">
        <f>SUM(Q40:Q43)</f>
        <v>190695.02499999999</v>
      </c>
      <c r="Q44" s="65"/>
      <c r="R44" s="64">
        <f>SUM(S40:S43)</f>
        <v>575436.83097111736</v>
      </c>
      <c r="S44" s="65"/>
    </row>
    <row r="45" spans="1:19" x14ac:dyDescent="0.25">
      <c r="A45" s="1" t="s">
        <v>17</v>
      </c>
      <c r="B45" s="4">
        <v>8.5000000000000006E-2</v>
      </c>
      <c r="C45" s="2">
        <f>+B45*$C$37</f>
        <v>120997.50000000001</v>
      </c>
      <c r="D45" s="4">
        <v>8.5000000000000006E-2</v>
      </c>
      <c r="E45" s="2">
        <f>+D45*$E$37</f>
        <v>120997.50000000001</v>
      </c>
      <c r="F45" s="4">
        <v>8.5000000000000006E-2</v>
      </c>
      <c r="G45" s="2">
        <f>+F45*$G$37</f>
        <v>130321.59470300001</v>
      </c>
      <c r="H45" s="4">
        <v>8.5000000000000006E-2</v>
      </c>
      <c r="I45" s="2">
        <f t="shared" ref="I45:I48" si="18">+H45*$I$5</f>
        <v>150260.04470299999</v>
      </c>
      <c r="J45" s="4">
        <v>8.5000000000000006E-2</v>
      </c>
      <c r="K45" s="2">
        <f>+J45*$K$37</f>
        <v>150260.04907199999</v>
      </c>
      <c r="L45" s="4">
        <v>8.5000000000000006E-2</v>
      </c>
      <c r="M45" s="2">
        <f>+L45*$M$37</f>
        <v>178392.55520599999</v>
      </c>
      <c r="N45" s="4">
        <v>8.5000000000000006E-2</v>
      </c>
      <c r="O45" s="2">
        <f>+N45*$O$5</f>
        <v>147571.24090898773</v>
      </c>
      <c r="P45" s="4">
        <v>8.5000000000000006E-2</v>
      </c>
      <c r="Q45" s="2">
        <f>+P45*$Q$37</f>
        <v>60498.750000000007</v>
      </c>
      <c r="R45" s="4">
        <v>8.5000000000000006E-2</v>
      </c>
      <c r="S45" s="2">
        <f>+R45*$S$37</f>
        <v>210306.59932453037</v>
      </c>
    </row>
    <row r="46" spans="1:19" x14ac:dyDescent="0.25">
      <c r="A46" s="1" t="s">
        <v>18</v>
      </c>
      <c r="B46" s="4">
        <v>0.12</v>
      </c>
      <c r="C46" s="2">
        <f t="shared" ref="C46:C48" si="19">+B46*$C$37</f>
        <v>170820</v>
      </c>
      <c r="D46" s="4">
        <v>0.12</v>
      </c>
      <c r="E46" s="2">
        <f t="shared" ref="E46:E48" si="20">+D46*$E$37</f>
        <v>170820</v>
      </c>
      <c r="F46" s="4">
        <v>0.12</v>
      </c>
      <c r="G46" s="2">
        <f t="shared" ref="G46:G48" si="21">+F46*$G$37</f>
        <v>183983.42781599998</v>
      </c>
      <c r="H46" s="4">
        <v>0.12</v>
      </c>
      <c r="I46" s="2">
        <f t="shared" si="18"/>
        <v>212131.82781599998</v>
      </c>
      <c r="J46" s="4">
        <v>0.12</v>
      </c>
      <c r="K46" s="2">
        <f t="shared" ref="K46:K48" si="22">+J46*$K$37</f>
        <v>212131.833984</v>
      </c>
      <c r="L46" s="4">
        <v>0.12</v>
      </c>
      <c r="M46" s="2">
        <f t="shared" ref="M46:M48" si="23">+L46*$M$37</f>
        <v>251848.31323199999</v>
      </c>
      <c r="N46" s="4">
        <v>0.12</v>
      </c>
      <c r="O46" s="2">
        <f t="shared" ref="O46:O48" si="24">+N46*$O$5</f>
        <v>208335.86951857089</v>
      </c>
      <c r="P46" s="4">
        <v>0.12</v>
      </c>
      <c r="Q46" s="2">
        <f t="shared" ref="Q46:Q48" si="25">+P46*$Q$37</f>
        <v>85410</v>
      </c>
      <c r="R46" s="4">
        <v>0.12</v>
      </c>
      <c r="S46" s="2">
        <f t="shared" ref="S46:S48" si="26">+R46*$S$37</f>
        <v>296903.43434051343</v>
      </c>
    </row>
    <row r="47" spans="1:19" x14ac:dyDescent="0.25">
      <c r="A47" s="1" t="s">
        <v>19</v>
      </c>
      <c r="B47" s="4">
        <v>1.044E-2</v>
      </c>
      <c r="C47" s="2">
        <f t="shared" si="19"/>
        <v>14861.34</v>
      </c>
      <c r="D47" s="4">
        <v>6.9599999999999995E-2</v>
      </c>
      <c r="E47" s="2">
        <f t="shared" si="20"/>
        <v>99075.599999999991</v>
      </c>
      <c r="F47" s="4">
        <v>6.9599999999999995E-2</v>
      </c>
      <c r="G47" s="2">
        <f t="shared" si="21"/>
        <v>106710.38813327999</v>
      </c>
      <c r="H47" s="4">
        <v>6.9599999999999995E-2</v>
      </c>
      <c r="I47" s="2">
        <f t="shared" si="18"/>
        <v>123036.46013327999</v>
      </c>
      <c r="J47" s="4">
        <v>6.9599999999999995E-2</v>
      </c>
      <c r="K47" s="2">
        <f t="shared" si="22"/>
        <v>123036.46371071998</v>
      </c>
      <c r="L47" s="4">
        <v>6.9599999999999995E-2</v>
      </c>
      <c r="M47" s="2">
        <f t="shared" si="23"/>
        <v>146072.02167455998</v>
      </c>
      <c r="N47" s="4">
        <v>1.044E-2</v>
      </c>
      <c r="O47" s="2">
        <f t="shared" si="24"/>
        <v>18125.220648115668</v>
      </c>
      <c r="P47" s="4">
        <v>1.044E-2</v>
      </c>
      <c r="Q47" s="2">
        <f t="shared" si="25"/>
        <v>7430.67</v>
      </c>
      <c r="R47" s="4">
        <v>6.9599999999999995E-2</v>
      </c>
      <c r="S47" s="2">
        <f t="shared" si="26"/>
        <v>172203.9919174978</v>
      </c>
    </row>
    <row r="48" spans="1:19" x14ac:dyDescent="0.25">
      <c r="A48" s="1" t="s">
        <v>20</v>
      </c>
      <c r="B48" s="4">
        <v>0.04</v>
      </c>
      <c r="C48" s="2">
        <f t="shared" si="19"/>
        <v>56940</v>
      </c>
      <c r="D48" s="4">
        <v>0.04</v>
      </c>
      <c r="E48" s="2">
        <f t="shared" si="20"/>
        <v>56940</v>
      </c>
      <c r="F48" s="4">
        <v>0.04</v>
      </c>
      <c r="G48" s="2">
        <f t="shared" si="21"/>
        <v>61327.809271999999</v>
      </c>
      <c r="H48" s="4">
        <v>0.04</v>
      </c>
      <c r="I48" s="2">
        <f t="shared" si="18"/>
        <v>70710.609272000002</v>
      </c>
      <c r="J48" s="4">
        <v>0.04</v>
      </c>
      <c r="K48" s="2">
        <f t="shared" si="22"/>
        <v>70710.611327999999</v>
      </c>
      <c r="L48" s="4">
        <v>0.04</v>
      </c>
      <c r="M48" s="2">
        <f t="shared" si="23"/>
        <v>83949.437743999995</v>
      </c>
      <c r="N48" s="4">
        <v>0.04</v>
      </c>
      <c r="O48" s="2">
        <f t="shared" si="24"/>
        <v>69445.289839523626</v>
      </c>
      <c r="P48" s="4">
        <v>0.04</v>
      </c>
      <c r="Q48" s="2">
        <f t="shared" si="25"/>
        <v>28470</v>
      </c>
      <c r="R48" s="4">
        <v>0.04</v>
      </c>
      <c r="S48" s="2">
        <f t="shared" si="26"/>
        <v>98967.811446837819</v>
      </c>
    </row>
    <row r="49" spans="1:19" x14ac:dyDescent="0.25">
      <c r="A49" s="1" t="s">
        <v>21</v>
      </c>
      <c r="B49" s="4"/>
      <c r="C49" s="2"/>
      <c r="D49" s="4"/>
      <c r="E49" s="2"/>
      <c r="F49" s="4"/>
      <c r="G49" s="2"/>
      <c r="H49" s="4"/>
      <c r="I49" s="2"/>
      <c r="J49" s="4"/>
      <c r="K49" s="2"/>
      <c r="L49" s="4"/>
      <c r="M49" s="2"/>
      <c r="N49" s="4"/>
      <c r="O49" s="2"/>
      <c r="P49" s="4"/>
      <c r="Q49" s="2"/>
      <c r="R49" s="4"/>
      <c r="S49" s="2"/>
    </row>
    <row r="50" spans="1:19" x14ac:dyDescent="0.25">
      <c r="A50" s="1" t="s">
        <v>22</v>
      </c>
      <c r="B50" s="4"/>
      <c r="C50" s="2"/>
      <c r="D50" s="4"/>
      <c r="E50" s="2"/>
      <c r="F50" s="4"/>
      <c r="G50" s="2"/>
      <c r="H50" s="4"/>
      <c r="I50" s="2"/>
      <c r="J50" s="4"/>
      <c r="K50" s="2"/>
      <c r="L50" s="4"/>
      <c r="M50" s="2"/>
      <c r="N50" s="4"/>
      <c r="O50" s="2"/>
      <c r="P50" s="4"/>
      <c r="Q50" s="2"/>
      <c r="R50" s="4"/>
      <c r="S50" s="2"/>
    </row>
    <row r="51" spans="1:19" x14ac:dyDescent="0.25">
      <c r="A51" s="3" t="s">
        <v>16</v>
      </c>
      <c r="B51" s="62">
        <f>SUM(C45:C50)</f>
        <v>363618.84</v>
      </c>
      <c r="C51" s="63"/>
      <c r="D51" s="62">
        <f>+SUM(E45:E50)</f>
        <v>447833.1</v>
      </c>
      <c r="E51" s="63"/>
      <c r="F51" s="62">
        <f>+SUM(G45:G50)</f>
        <v>482343.21992427995</v>
      </c>
      <c r="G51" s="63"/>
      <c r="H51" s="64">
        <f>+SUM(I45:I50)</f>
        <v>556138.94192428002</v>
      </c>
      <c r="I51" s="65"/>
      <c r="J51" s="64">
        <f>+SUM(K45:K50)</f>
        <v>556138.95809471991</v>
      </c>
      <c r="K51" s="65"/>
      <c r="L51" s="64">
        <f>+SUM(M45:M50)</f>
        <v>660262.32785656</v>
      </c>
      <c r="M51" s="65"/>
      <c r="N51" s="64">
        <f>+SUM(O45:O50)</f>
        <v>443477.62091519794</v>
      </c>
      <c r="O51" s="65"/>
      <c r="P51" s="64">
        <f>SUM(Q45:Q50)</f>
        <v>181809.42</v>
      </c>
      <c r="Q51" s="65"/>
      <c r="R51" s="64">
        <f>SUM(S45:S50)</f>
        <v>778381.83702937944</v>
      </c>
      <c r="S51" s="65"/>
    </row>
    <row r="52" spans="1:19" x14ac:dyDescent="0.25">
      <c r="A52" s="3" t="s">
        <v>23</v>
      </c>
      <c r="B52" s="60">
        <f>+B39+B44+B51</f>
        <v>2333188.89</v>
      </c>
      <c r="C52" s="61"/>
      <c r="D52" s="60">
        <f>+D39+D44+D51</f>
        <v>2417403.15</v>
      </c>
      <c r="E52" s="61"/>
      <c r="F52" s="60">
        <f>+F39+F44+F51</f>
        <v>2585554.9708262198</v>
      </c>
      <c r="G52" s="61"/>
      <c r="H52" s="60">
        <f>+H39+H44+H51</f>
        <v>2945127.3238262199</v>
      </c>
      <c r="I52" s="61"/>
      <c r="J52" s="60">
        <f>+J39+J44+J51</f>
        <v>2945127.4026172799</v>
      </c>
      <c r="K52" s="61"/>
      <c r="L52" s="60">
        <f>+L39+L44+L51</f>
        <v>3452472.3279444398</v>
      </c>
      <c r="M52" s="61"/>
      <c r="N52" s="60">
        <f>+N39+N44+N51</f>
        <v>2793927.5362024885</v>
      </c>
      <c r="O52" s="61"/>
      <c r="P52" s="60">
        <f>+P39+P44+P51</f>
        <v>1284254.4449999998</v>
      </c>
      <c r="Q52" s="61"/>
      <c r="R52" s="60">
        <f>+R39+R44+R51</f>
        <v>4028013.954171442</v>
      </c>
      <c r="S52" s="61"/>
    </row>
    <row r="53" spans="1:19" x14ac:dyDescent="0.25">
      <c r="A53" s="3" t="s">
        <v>24</v>
      </c>
      <c r="B53" s="57">
        <v>23</v>
      </c>
      <c r="C53" s="57"/>
      <c r="D53" s="57">
        <v>5</v>
      </c>
      <c r="E53" s="57"/>
      <c r="F53" s="57">
        <v>6</v>
      </c>
      <c r="G53" s="57"/>
      <c r="H53" s="57">
        <v>1</v>
      </c>
      <c r="I53" s="57"/>
      <c r="J53" s="57">
        <v>6</v>
      </c>
      <c r="K53" s="57"/>
      <c r="L53" s="57">
        <v>4</v>
      </c>
      <c r="M53" s="57"/>
      <c r="N53" s="57">
        <v>1</v>
      </c>
      <c r="O53" s="57"/>
      <c r="P53" s="58">
        <v>1</v>
      </c>
      <c r="Q53" s="59"/>
      <c r="R53" s="58">
        <v>4</v>
      </c>
      <c r="S53" s="59"/>
    </row>
    <row r="54" spans="1:19" ht="30" x14ac:dyDescent="0.25">
      <c r="A54" s="3" t="s">
        <v>25</v>
      </c>
      <c r="B54" s="49">
        <f>+B52*B53</f>
        <v>53663344.470000006</v>
      </c>
      <c r="C54" s="50"/>
      <c r="D54" s="49">
        <f>+D52*D53</f>
        <v>12087015.75</v>
      </c>
      <c r="E54" s="50"/>
      <c r="F54" s="49">
        <f>+F52*F53</f>
        <v>15513329.824957319</v>
      </c>
      <c r="G54" s="50"/>
      <c r="H54" s="49">
        <f>+H52*H53</f>
        <v>2945127.3238262199</v>
      </c>
      <c r="I54" s="50"/>
      <c r="J54" s="49">
        <f>+J52*J53</f>
        <v>17670764.41570368</v>
      </c>
      <c r="K54" s="50"/>
      <c r="L54" s="49">
        <f>+L52*L53</f>
        <v>13809889.311777759</v>
      </c>
      <c r="M54" s="50"/>
      <c r="N54" s="49">
        <f>+N52*N53</f>
        <v>2793927.5362024885</v>
      </c>
      <c r="O54" s="50"/>
      <c r="P54" s="49">
        <f>+P52*P53</f>
        <v>1284254.4449999998</v>
      </c>
      <c r="Q54" s="50"/>
      <c r="R54" s="49">
        <f>+R52*R53</f>
        <v>16112055.816685768</v>
      </c>
      <c r="S54" s="50"/>
    </row>
    <row r="55" spans="1:19" x14ac:dyDescent="0.25">
      <c r="A55" s="3" t="s">
        <v>26</v>
      </c>
      <c r="B55" s="51">
        <f>+SUM(B54:S54)</f>
        <v>135879708.89415324</v>
      </c>
      <c r="C55" s="52"/>
      <c r="D55" s="52"/>
      <c r="E55" s="52"/>
      <c r="F55" s="52"/>
      <c r="G55" s="52"/>
      <c r="H55" s="52"/>
      <c r="I55" s="52"/>
      <c r="J55" s="52"/>
      <c r="K55" s="52"/>
      <c r="L55" s="52"/>
      <c r="M55" s="52"/>
      <c r="N55" s="52"/>
      <c r="O55" s="52"/>
      <c r="P55" s="52"/>
      <c r="Q55" s="52"/>
      <c r="R55" s="52"/>
      <c r="S55" s="53"/>
    </row>
    <row r="56" spans="1:19" x14ac:dyDescent="0.25">
      <c r="A56" s="3" t="s">
        <v>27</v>
      </c>
      <c r="B56" s="54"/>
      <c r="C56" s="55"/>
      <c r="D56" s="55"/>
      <c r="E56" s="55"/>
      <c r="F56" s="55"/>
      <c r="G56" s="55"/>
      <c r="H56" s="55"/>
      <c r="I56" s="55"/>
      <c r="J56" s="55"/>
      <c r="K56" s="55"/>
      <c r="L56" s="55"/>
      <c r="M56" s="55"/>
      <c r="N56" s="55"/>
      <c r="O56" s="55"/>
      <c r="P56" s="55"/>
      <c r="Q56" s="55"/>
      <c r="R56" s="55"/>
      <c r="S56" s="56"/>
    </row>
    <row r="57" spans="1:19" x14ac:dyDescent="0.25">
      <c r="A57" s="3" t="s">
        <v>28</v>
      </c>
      <c r="B57" s="54"/>
      <c r="C57" s="55"/>
      <c r="D57" s="55"/>
      <c r="E57" s="55"/>
      <c r="F57" s="55"/>
      <c r="G57" s="55"/>
      <c r="H57" s="55"/>
      <c r="I57" s="55"/>
      <c r="J57" s="55"/>
      <c r="K57" s="55"/>
      <c r="L57" s="55"/>
      <c r="M57" s="55"/>
      <c r="N57" s="55"/>
      <c r="O57" s="55"/>
      <c r="P57" s="55"/>
      <c r="Q57" s="55"/>
      <c r="R57" s="55"/>
      <c r="S57" s="56"/>
    </row>
    <row r="58" spans="1:19" x14ac:dyDescent="0.25">
      <c r="A58" s="3" t="s">
        <v>29</v>
      </c>
      <c r="B58" s="42">
        <f>+B55*(B56+B57)</f>
        <v>0</v>
      </c>
      <c r="C58" s="43"/>
      <c r="D58" s="43"/>
      <c r="E58" s="43"/>
      <c r="F58" s="43"/>
      <c r="G58" s="43"/>
      <c r="H58" s="43"/>
      <c r="I58" s="43"/>
      <c r="J58" s="43"/>
      <c r="K58" s="43"/>
      <c r="L58" s="43"/>
      <c r="M58" s="43"/>
      <c r="N58" s="43"/>
      <c r="O58" s="43"/>
      <c r="P58" s="43"/>
      <c r="Q58" s="43"/>
      <c r="R58" s="43"/>
      <c r="S58" s="44"/>
    </row>
    <row r="59" spans="1:19" x14ac:dyDescent="0.25">
      <c r="A59" s="3" t="s">
        <v>30</v>
      </c>
      <c r="B59" s="42">
        <f>19%*B58</f>
        <v>0</v>
      </c>
      <c r="C59" s="43"/>
      <c r="D59" s="43"/>
      <c r="E59" s="43"/>
      <c r="F59" s="43"/>
      <c r="G59" s="43"/>
      <c r="H59" s="43"/>
      <c r="I59" s="43"/>
      <c r="J59" s="43"/>
      <c r="K59" s="43"/>
      <c r="L59" s="43"/>
      <c r="M59" s="43"/>
      <c r="N59" s="43"/>
      <c r="O59" s="43"/>
      <c r="P59" s="43"/>
      <c r="Q59" s="43"/>
      <c r="R59" s="43"/>
      <c r="S59" s="44"/>
    </row>
    <row r="60" spans="1:19" x14ac:dyDescent="0.25">
      <c r="A60" s="5" t="s">
        <v>31</v>
      </c>
      <c r="B60" s="45">
        <f>+B55+B58+B59</f>
        <v>135879708.89415324</v>
      </c>
      <c r="C60" s="46"/>
      <c r="D60" s="46"/>
      <c r="E60" s="46"/>
      <c r="F60" s="46"/>
      <c r="G60" s="46"/>
      <c r="H60" s="46"/>
      <c r="I60" s="46"/>
      <c r="J60" s="46"/>
      <c r="K60" s="46"/>
      <c r="L60" s="46"/>
      <c r="M60" s="46"/>
      <c r="N60" s="46"/>
      <c r="O60" s="46"/>
      <c r="P60" s="46"/>
      <c r="Q60" s="46"/>
      <c r="R60" s="46"/>
      <c r="S60" s="47"/>
    </row>
    <row r="61" spans="1:19" s="12" customFormat="1" x14ac:dyDescent="0.25">
      <c r="A61" s="3"/>
      <c r="B61" s="48"/>
      <c r="C61" s="48"/>
      <c r="D61" s="48"/>
      <c r="E61" s="48"/>
      <c r="F61" s="48"/>
      <c r="G61" s="48"/>
      <c r="H61" s="48"/>
      <c r="I61" s="48"/>
      <c r="J61" s="48"/>
      <c r="K61" s="48"/>
      <c r="L61" s="48"/>
      <c r="M61" s="48"/>
      <c r="N61" s="48"/>
      <c r="O61" s="48"/>
      <c r="P61" s="48"/>
      <c r="Q61" s="48"/>
      <c r="R61" s="48"/>
      <c r="S61" s="48"/>
    </row>
  </sheetData>
  <mergeCells count="163">
    <mergeCell ref="A3:A4"/>
    <mergeCell ref="B3:C3"/>
    <mergeCell ref="D3:E3"/>
    <mergeCell ref="F3:G3"/>
    <mergeCell ref="H3:I3"/>
    <mergeCell ref="J3:K3"/>
    <mergeCell ref="A1:S1"/>
    <mergeCell ref="B2:C2"/>
    <mergeCell ref="D2:E2"/>
    <mergeCell ref="F2:G2"/>
    <mergeCell ref="H2:I2"/>
    <mergeCell ref="J2:K2"/>
    <mergeCell ref="L2:M2"/>
    <mergeCell ref="N2:O2"/>
    <mergeCell ref="P2:Q2"/>
    <mergeCell ref="R2:S2"/>
    <mergeCell ref="L3:M3"/>
    <mergeCell ref="N3:O3"/>
    <mergeCell ref="P3:Q3"/>
    <mergeCell ref="R3:S3"/>
    <mergeCell ref="B7:C7"/>
    <mergeCell ref="D7:E7"/>
    <mergeCell ref="F7:G7"/>
    <mergeCell ref="H7:I7"/>
    <mergeCell ref="J7:K7"/>
    <mergeCell ref="L7:M7"/>
    <mergeCell ref="N7:O7"/>
    <mergeCell ref="P7:Q7"/>
    <mergeCell ref="R7:S7"/>
    <mergeCell ref="B12:C12"/>
    <mergeCell ref="D12:E12"/>
    <mergeCell ref="F12:G12"/>
    <mergeCell ref="H12:I12"/>
    <mergeCell ref="J12:K12"/>
    <mergeCell ref="L12:M12"/>
    <mergeCell ref="N12:O12"/>
    <mergeCell ref="P12:Q12"/>
    <mergeCell ref="R12:S12"/>
    <mergeCell ref="B19:C19"/>
    <mergeCell ref="D19:E19"/>
    <mergeCell ref="F19:G19"/>
    <mergeCell ref="H19:I19"/>
    <mergeCell ref="J19:K19"/>
    <mergeCell ref="L19:M19"/>
    <mergeCell ref="N19:O19"/>
    <mergeCell ref="P19:Q19"/>
    <mergeCell ref="R19:S19"/>
    <mergeCell ref="B20:C20"/>
    <mergeCell ref="D20:E20"/>
    <mergeCell ref="F20:G20"/>
    <mergeCell ref="H20:I20"/>
    <mergeCell ref="J20:K20"/>
    <mergeCell ref="L20:M20"/>
    <mergeCell ref="N20:O20"/>
    <mergeCell ref="P20:Q20"/>
    <mergeCell ref="R20:S20"/>
    <mergeCell ref="P22:Q22"/>
    <mergeCell ref="R22:S22"/>
    <mergeCell ref="B23:S23"/>
    <mergeCell ref="B24:S24"/>
    <mergeCell ref="B25:S25"/>
    <mergeCell ref="B26:S26"/>
    <mergeCell ref="N21:O21"/>
    <mergeCell ref="P21:Q21"/>
    <mergeCell ref="R21:S21"/>
    <mergeCell ref="B22:C22"/>
    <mergeCell ref="D22:E22"/>
    <mergeCell ref="F22:G22"/>
    <mergeCell ref="H22:I22"/>
    <mergeCell ref="J22:K22"/>
    <mergeCell ref="L22:M22"/>
    <mergeCell ref="N22:O22"/>
    <mergeCell ref="B21:C21"/>
    <mergeCell ref="D21:E21"/>
    <mergeCell ref="F21:G21"/>
    <mergeCell ref="H21:I21"/>
    <mergeCell ref="J21:K21"/>
    <mergeCell ref="L21:M21"/>
    <mergeCell ref="B27:S27"/>
    <mergeCell ref="B28:S28"/>
    <mergeCell ref="A30:S30"/>
    <mergeCell ref="A31:S32"/>
    <mergeCell ref="A33:S33"/>
    <mergeCell ref="B34:C34"/>
    <mergeCell ref="D34:E34"/>
    <mergeCell ref="F34:G34"/>
    <mergeCell ref="H34:I34"/>
    <mergeCell ref="J34:K34"/>
    <mergeCell ref="L34:M34"/>
    <mergeCell ref="N34:O34"/>
    <mergeCell ref="P34:Q34"/>
    <mergeCell ref="R34:S34"/>
    <mergeCell ref="A35:A36"/>
    <mergeCell ref="B35:C35"/>
    <mergeCell ref="D35:E35"/>
    <mergeCell ref="F35:G35"/>
    <mergeCell ref="H35:I35"/>
    <mergeCell ref="J35:K35"/>
    <mergeCell ref="L35:M35"/>
    <mergeCell ref="N35:O35"/>
    <mergeCell ref="P35:Q35"/>
    <mergeCell ref="R35:S35"/>
    <mergeCell ref="B39:C39"/>
    <mergeCell ref="D39:E39"/>
    <mergeCell ref="F39:G39"/>
    <mergeCell ref="H39:I39"/>
    <mergeCell ref="J39:K39"/>
    <mergeCell ref="L39:M39"/>
    <mergeCell ref="N39:O39"/>
    <mergeCell ref="P39:Q39"/>
    <mergeCell ref="R39:S39"/>
    <mergeCell ref="B44:C44"/>
    <mergeCell ref="D44:E44"/>
    <mergeCell ref="F44:G44"/>
    <mergeCell ref="H44:I44"/>
    <mergeCell ref="J44:K44"/>
    <mergeCell ref="L44:M44"/>
    <mergeCell ref="N44:O44"/>
    <mergeCell ref="P44:Q44"/>
    <mergeCell ref="R44:S44"/>
    <mergeCell ref="B51:C51"/>
    <mergeCell ref="D51:E51"/>
    <mergeCell ref="F51:G51"/>
    <mergeCell ref="H51:I51"/>
    <mergeCell ref="J51:K51"/>
    <mergeCell ref="L51:M51"/>
    <mergeCell ref="N51:O51"/>
    <mergeCell ref="P51:Q51"/>
    <mergeCell ref="R51:S51"/>
    <mergeCell ref="B52:C52"/>
    <mergeCell ref="D52:E52"/>
    <mergeCell ref="F52:G52"/>
    <mergeCell ref="H52:I52"/>
    <mergeCell ref="J52:K52"/>
    <mergeCell ref="L52:M52"/>
    <mergeCell ref="N52:O52"/>
    <mergeCell ref="P52:Q52"/>
    <mergeCell ref="R52:S52"/>
    <mergeCell ref="N53:O53"/>
    <mergeCell ref="P53:Q53"/>
    <mergeCell ref="R53:S53"/>
    <mergeCell ref="B54:C54"/>
    <mergeCell ref="D54:E54"/>
    <mergeCell ref="F54:G54"/>
    <mergeCell ref="H54:I54"/>
    <mergeCell ref="J54:K54"/>
    <mergeCell ref="L54:M54"/>
    <mergeCell ref="N54:O54"/>
    <mergeCell ref="B53:C53"/>
    <mergeCell ref="D53:E53"/>
    <mergeCell ref="F53:G53"/>
    <mergeCell ref="H53:I53"/>
    <mergeCell ref="J53:K53"/>
    <mergeCell ref="L53:M53"/>
    <mergeCell ref="B59:S59"/>
    <mergeCell ref="B60:S60"/>
    <mergeCell ref="B61:S61"/>
    <mergeCell ref="P54:Q54"/>
    <mergeCell ref="R54:S54"/>
    <mergeCell ref="B55:S55"/>
    <mergeCell ref="B56:S56"/>
    <mergeCell ref="B57:S57"/>
    <mergeCell ref="B58:S58"/>
  </mergeCells>
  <printOptions horizontalCentered="1"/>
  <pageMargins left="0.23622047244094491" right="0.23622047244094491" top="1.7322834645669292" bottom="0.74803149606299213" header="0.31496062992125984" footer="0.31496062992125984"/>
  <pageSetup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14"/>
  <sheetViews>
    <sheetView zoomScaleNormal="100" workbookViewId="0">
      <selection activeCell="C6" sqref="C6"/>
    </sheetView>
  </sheetViews>
  <sheetFormatPr baseColWidth="10" defaultRowHeight="15" x14ac:dyDescent="0.25"/>
  <cols>
    <col min="2" max="2" width="32.5703125" customWidth="1"/>
    <col min="3" max="3" width="9.7109375" customWidth="1"/>
    <col min="4" max="4" width="23.28515625" customWidth="1"/>
    <col min="5" max="5" width="17.85546875" customWidth="1"/>
    <col min="6" max="6" width="18.5703125" customWidth="1"/>
    <col min="8" max="8" width="13" bestFit="1" customWidth="1"/>
    <col min="10" max="10" width="26.85546875" bestFit="1" customWidth="1"/>
    <col min="11" max="11" width="15.140625" bestFit="1" customWidth="1"/>
  </cols>
  <sheetData>
    <row r="2" spans="2:11" x14ac:dyDescent="0.25">
      <c r="B2" s="73" t="s">
        <v>44</v>
      </c>
      <c r="C2" s="73"/>
      <c r="D2" s="73"/>
      <c r="E2" s="73"/>
      <c r="F2" s="73"/>
    </row>
    <row r="4" spans="2:11" ht="60" x14ac:dyDescent="0.25">
      <c r="B4" s="84" t="s">
        <v>33</v>
      </c>
      <c r="C4" s="84"/>
      <c r="D4" s="16" t="s">
        <v>43</v>
      </c>
      <c r="E4" s="16" t="s">
        <v>38</v>
      </c>
      <c r="F4" s="16" t="s">
        <v>34</v>
      </c>
    </row>
    <row r="5" spans="2:11" x14ac:dyDescent="0.25">
      <c r="B5" s="85" t="s">
        <v>45</v>
      </c>
      <c r="C5" s="85"/>
      <c r="D5" s="24">
        <v>96165</v>
      </c>
      <c r="E5" s="24">
        <f>+D5*1.05</f>
        <v>100973.25</v>
      </c>
      <c r="F5" s="24">
        <v>145347.5306</v>
      </c>
    </row>
    <row r="6" spans="2:11" x14ac:dyDescent="0.25">
      <c r="B6" s="25" t="s">
        <v>46</v>
      </c>
      <c r="C6" s="26"/>
      <c r="D6" s="24">
        <f>+D5*$C$6</f>
        <v>0</v>
      </c>
      <c r="E6" s="24">
        <f>+E5*$C$6</f>
        <v>0</v>
      </c>
      <c r="F6" s="24">
        <f>+F5*$C$6</f>
        <v>0</v>
      </c>
    </row>
    <row r="7" spans="2:11" x14ac:dyDescent="0.25">
      <c r="B7" s="86" t="s">
        <v>47</v>
      </c>
      <c r="C7" s="87"/>
      <c r="D7" s="24">
        <f>+D6*19%</f>
        <v>0</v>
      </c>
      <c r="E7" s="24">
        <f>+E6*19%</f>
        <v>0</v>
      </c>
      <c r="F7" s="24">
        <f>+F6*19%</f>
        <v>0</v>
      </c>
    </row>
    <row r="8" spans="2:11" x14ac:dyDescent="0.25">
      <c r="B8" s="86" t="s">
        <v>48</v>
      </c>
      <c r="C8" s="87"/>
      <c r="D8" s="24">
        <f>+D5+D6+D7</f>
        <v>96165</v>
      </c>
      <c r="E8" s="24">
        <f>+E5+E6+E7</f>
        <v>100973.25</v>
      </c>
      <c r="F8" s="24">
        <f>+F5+F6+F7</f>
        <v>145347.5306</v>
      </c>
      <c r="K8" s="20"/>
    </row>
    <row r="9" spans="2:11" x14ac:dyDescent="0.25">
      <c r="B9" s="27" t="s">
        <v>50</v>
      </c>
      <c r="C9" s="27"/>
      <c r="D9" s="81">
        <f>D8+E8+F8</f>
        <v>342485.7806</v>
      </c>
      <c r="E9" s="82"/>
      <c r="F9" s="83"/>
    </row>
    <row r="10" spans="2:11" x14ac:dyDescent="0.25">
      <c r="D10" s="17"/>
      <c r="E10" s="17"/>
      <c r="F10" s="17"/>
    </row>
    <row r="11" spans="2:11" x14ac:dyDescent="0.25">
      <c r="B11" s="18" t="s">
        <v>49</v>
      </c>
      <c r="D11" s="17"/>
      <c r="K11" s="22"/>
    </row>
    <row r="12" spans="2:11" x14ac:dyDescent="0.25">
      <c r="D12" s="17"/>
    </row>
    <row r="13" spans="2:11" x14ac:dyDescent="0.25">
      <c r="K13" s="22"/>
    </row>
    <row r="14" spans="2:11" x14ac:dyDescent="0.25">
      <c r="H14" s="21"/>
      <c r="K14" s="20"/>
    </row>
  </sheetData>
  <mergeCells count="6">
    <mergeCell ref="D9:F9"/>
    <mergeCell ref="B2:F2"/>
    <mergeCell ref="B4:C4"/>
    <mergeCell ref="B5:C5"/>
    <mergeCell ref="B8:C8"/>
    <mergeCell ref="B7:C7"/>
  </mergeCells>
  <pageMargins left="0.70866141732283472" right="0.70866141732283472" top="1.7322834645669292" bottom="0.74803149606299213" header="0.31496062992125984" footer="0.31496062992125984"/>
  <pageSetup scale="8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BC1F8-40FA-4758-90F7-0F41AF181934}">
  <dimension ref="A2:E12"/>
  <sheetViews>
    <sheetView topLeftCell="B7" workbookViewId="0">
      <selection activeCell="D7" sqref="D7"/>
    </sheetView>
  </sheetViews>
  <sheetFormatPr baseColWidth="10" defaultColWidth="20" defaultRowHeight="15" x14ac:dyDescent="0.25"/>
  <cols>
    <col min="1" max="1" width="49.85546875" bestFit="1" customWidth="1"/>
    <col min="2" max="2" width="70.85546875" customWidth="1"/>
    <col min="3" max="3" width="24.5703125" customWidth="1"/>
    <col min="4" max="4" width="33.5703125" bestFit="1" customWidth="1"/>
    <col min="5" max="5" width="30.42578125" bestFit="1" customWidth="1"/>
  </cols>
  <sheetData>
    <row r="2" spans="1:5" x14ac:dyDescent="0.25">
      <c r="A2" s="28" t="s">
        <v>51</v>
      </c>
      <c r="B2" s="28" t="s">
        <v>52</v>
      </c>
      <c r="C2" s="28" t="s">
        <v>35</v>
      </c>
      <c r="D2" s="28" t="s">
        <v>53</v>
      </c>
      <c r="E2" s="28" t="s">
        <v>54</v>
      </c>
    </row>
    <row r="3" spans="1:5" x14ac:dyDescent="0.25">
      <c r="A3" s="29" t="s">
        <v>55</v>
      </c>
      <c r="B3" s="30" t="s">
        <v>56</v>
      </c>
      <c r="C3" s="29">
        <v>20</v>
      </c>
      <c r="D3" s="31">
        <v>0</v>
      </c>
      <c r="E3" s="32">
        <f>+C3*D3</f>
        <v>0</v>
      </c>
    </row>
    <row r="4" spans="1:5" ht="30" x14ac:dyDescent="0.25">
      <c r="A4" s="29" t="s">
        <v>55</v>
      </c>
      <c r="B4" s="30" t="s">
        <v>57</v>
      </c>
      <c r="C4" s="29">
        <v>20</v>
      </c>
      <c r="D4" s="31">
        <v>0</v>
      </c>
      <c r="E4" s="32">
        <f t="shared" ref="E4:E8" si="0">+C4*D4</f>
        <v>0</v>
      </c>
    </row>
    <row r="5" spans="1:5" x14ac:dyDescent="0.25">
      <c r="A5" s="29" t="s">
        <v>55</v>
      </c>
      <c r="B5" s="30" t="s">
        <v>58</v>
      </c>
      <c r="C5" s="29">
        <v>20</v>
      </c>
      <c r="D5" s="31">
        <v>0</v>
      </c>
      <c r="E5" s="32">
        <f t="shared" si="0"/>
        <v>0</v>
      </c>
    </row>
    <row r="6" spans="1:5" ht="45" x14ac:dyDescent="0.25">
      <c r="A6" s="29" t="s">
        <v>59</v>
      </c>
      <c r="B6" s="33" t="s">
        <v>60</v>
      </c>
      <c r="C6" s="29">
        <v>1</v>
      </c>
      <c r="D6" s="31">
        <v>0</v>
      </c>
      <c r="E6" s="32">
        <f t="shared" si="0"/>
        <v>0</v>
      </c>
    </row>
    <row r="7" spans="1:5" ht="60" x14ac:dyDescent="0.25">
      <c r="A7" s="29" t="s">
        <v>61</v>
      </c>
      <c r="B7" s="30" t="s">
        <v>62</v>
      </c>
      <c r="C7" s="29">
        <v>1</v>
      </c>
      <c r="D7" s="31">
        <v>0</v>
      </c>
      <c r="E7" s="32">
        <f t="shared" si="0"/>
        <v>0</v>
      </c>
    </row>
    <row r="8" spans="1:5" ht="120" x14ac:dyDescent="0.25">
      <c r="A8" s="29" t="s">
        <v>37</v>
      </c>
      <c r="B8" s="30" t="s">
        <v>63</v>
      </c>
      <c r="C8" s="29">
        <v>1</v>
      </c>
      <c r="D8" s="31">
        <v>0</v>
      </c>
      <c r="E8" s="32">
        <f t="shared" si="0"/>
        <v>0</v>
      </c>
    </row>
    <row r="9" spans="1:5" x14ac:dyDescent="0.25">
      <c r="B9" s="88" t="s">
        <v>64</v>
      </c>
      <c r="C9" s="88"/>
      <c r="D9" s="88"/>
      <c r="E9" s="34">
        <f>+SUM(E3:E8)</f>
        <v>0</v>
      </c>
    </row>
    <row r="12" spans="1:5" x14ac:dyDescent="0.25">
      <c r="B12" s="18" t="s">
        <v>65</v>
      </c>
    </row>
  </sheetData>
  <mergeCells count="1">
    <mergeCell ref="B9:D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7D9B8-D7F1-4862-BFD2-FADCD9817A76}">
  <dimension ref="A1:E3"/>
  <sheetViews>
    <sheetView tabSelected="1" workbookViewId="0">
      <selection activeCell="E3" sqref="E3"/>
    </sheetView>
  </sheetViews>
  <sheetFormatPr baseColWidth="10" defaultRowHeight="15" x14ac:dyDescent="0.25"/>
  <cols>
    <col min="1" max="1" width="29.28515625" customWidth="1"/>
    <col min="2" max="2" width="16.140625" customWidth="1"/>
    <col min="3" max="3" width="0" hidden="1" customWidth="1"/>
  </cols>
  <sheetData>
    <row r="1" spans="1:5" ht="60" x14ac:dyDescent="0.25">
      <c r="A1" s="35" t="s">
        <v>66</v>
      </c>
      <c r="B1" s="40" t="s">
        <v>67</v>
      </c>
      <c r="C1" s="40" t="s">
        <v>69</v>
      </c>
      <c r="D1" s="40" t="s">
        <v>68</v>
      </c>
      <c r="E1" s="39" t="s">
        <v>74</v>
      </c>
    </row>
    <row r="2" spans="1:5" ht="60" x14ac:dyDescent="0.25">
      <c r="A2" s="36" t="s">
        <v>70</v>
      </c>
      <c r="B2" s="36" t="s">
        <v>73</v>
      </c>
      <c r="C2" s="37"/>
      <c r="D2" s="38">
        <v>100</v>
      </c>
      <c r="E2" s="41"/>
    </row>
    <row r="3" spans="1:5" ht="75" x14ac:dyDescent="0.25">
      <c r="A3" s="36" t="s">
        <v>71</v>
      </c>
      <c r="B3" s="36" t="s">
        <v>72</v>
      </c>
      <c r="C3" s="37"/>
      <c r="D3" s="38">
        <v>100</v>
      </c>
      <c r="E3" s="4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Personal fijo</vt:lpstr>
      <vt:lpstr>Personal Eventual</vt:lpstr>
      <vt:lpstr>Alquiler Maquinaria</vt:lpstr>
      <vt:lpstr>Valores Agregados</vt:lpstr>
      <vt:lpstr>'Personal Eventual'!Área_de_impresión</vt:lpstr>
      <vt:lpstr>'Personal fijo'!Área_de_impresión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YASMIN GAVIRIA</dc:creator>
  <cp:lastModifiedBy>Cristina  Restrepo Acevedo</cp:lastModifiedBy>
  <dcterms:created xsi:type="dcterms:W3CDTF">2021-01-18T17:53:14Z</dcterms:created>
  <dcterms:modified xsi:type="dcterms:W3CDTF">2025-05-07T16:54:48Z</dcterms:modified>
</cp:coreProperties>
</file>