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q14UxxVB-0rfFtpvhY53VJHYCAInkdO0\Alexander.Rendon\Coordinación Operativa\ESTUDIOS PREVIOS\"/>
    </mc:Choice>
  </mc:AlternateContent>
  <xr:revisionPtr revIDLastSave="0" documentId="13_ncr:1_{E855FE07-4AB3-4378-8D01-816CEFF753E6}" xr6:coauthVersionLast="47" xr6:coauthVersionMax="47" xr10:uidLastSave="{00000000-0000-0000-0000-000000000000}"/>
  <bookViews>
    <workbookView xWindow="-120" yWindow="-120" windowWidth="20730" windowHeight="11160" tabRatio="789" activeTab="3" xr2:uid="{00000000-000D-0000-FFFF-FFFF00000000}"/>
  </bookViews>
  <sheets>
    <sheet name="Formato 4. Personal fijo B" sheetId="7" r:id="rId1"/>
    <sheet name="Fomato 5. Personal Eventual" sheetId="2" r:id="rId2"/>
    <sheet name="Formato 6. Maquinaria" sheetId="6" r:id="rId3"/>
    <sheet name="Formato 7. Suministro Insumos" sheetId="4" r:id="rId4"/>
  </sheets>
  <definedNames>
    <definedName name="_xlnm._FilterDatabase" localSheetId="3" hidden="1">'Formato 7. Suministro Insumos'!$A$4:$G$63</definedName>
    <definedName name="_xlnm.Print_Area" localSheetId="1">'Fomato 5. Personal Eventual'!$A$1:$E$7</definedName>
    <definedName name="_xlnm.Print_Area" localSheetId="0">'Formato 4. Personal fijo B'!$A$30:$S$62</definedName>
    <definedName name="_xlnm.Print_Area" localSheetId="2">'Formato 6. Maquinaria'!$A$2:$E$41</definedName>
    <definedName name="_xlnm.Print_Area" localSheetId="3">'Formato 7. Suministro Insumos'!$A$2:$E$63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8" i="4" l="1"/>
  <c r="E37" i="4"/>
  <c r="E27" i="4"/>
  <c r="E9" i="4"/>
  <c r="E8" i="4"/>
  <c r="E44" i="4"/>
  <c r="E35" i="4"/>
  <c r="D29" i="4"/>
  <c r="D16" i="4" l="1"/>
  <c r="D17" i="4"/>
  <c r="D18" i="4"/>
  <c r="D19" i="4"/>
  <c r="D20" i="4"/>
  <c r="D21" i="4"/>
  <c r="D22" i="4"/>
  <c r="D23" i="4"/>
  <c r="D24" i="4"/>
  <c r="D25" i="4"/>
  <c r="D26" i="4"/>
  <c r="D28" i="4"/>
  <c r="D30" i="4"/>
  <c r="D31" i="4"/>
  <c r="D32" i="4"/>
  <c r="D33" i="4"/>
  <c r="D34" i="4"/>
  <c r="D36" i="4"/>
  <c r="D39" i="4"/>
  <c r="D40" i="4"/>
  <c r="D41" i="4"/>
  <c r="D42" i="4"/>
  <c r="D43" i="4"/>
  <c r="D45" i="4"/>
  <c r="D47" i="4"/>
  <c r="D49" i="4"/>
  <c r="D50" i="4"/>
  <c r="D51" i="4"/>
  <c r="D52" i="4"/>
  <c r="D53" i="4"/>
  <c r="D54" i="4"/>
  <c r="D55" i="4"/>
  <c r="D57" i="4"/>
  <c r="D58" i="4"/>
  <c r="D59" i="4"/>
  <c r="D60" i="4"/>
  <c r="D7" i="4"/>
  <c r="D10" i="4"/>
  <c r="D11" i="4"/>
  <c r="D12" i="4"/>
  <c r="D13" i="4"/>
  <c r="D14" i="4"/>
  <c r="D15" i="4"/>
  <c r="D6" i="4"/>
  <c r="D5" i="4"/>
  <c r="E31" i="6" l="1"/>
  <c r="E32" i="6"/>
  <c r="E33" i="6"/>
  <c r="E34" i="6"/>
  <c r="E5" i="2"/>
  <c r="D5" i="2"/>
  <c r="C5" i="2"/>
  <c r="C6" i="2"/>
  <c r="E35" i="6"/>
  <c r="E36" i="6"/>
  <c r="E37" i="6"/>
  <c r="E38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7" i="6"/>
  <c r="E8" i="6"/>
  <c r="E9" i="6"/>
  <c r="E10" i="6"/>
  <c r="E6" i="6"/>
  <c r="C47" i="7"/>
  <c r="C48" i="7"/>
  <c r="I37" i="7"/>
  <c r="S37" i="7"/>
  <c r="Q37" i="7"/>
  <c r="O37" i="7"/>
  <c r="M37" i="7"/>
  <c r="K37" i="7"/>
  <c r="G37" i="7"/>
  <c r="C37" i="7"/>
  <c r="E37" i="7" s="1"/>
  <c r="C38" i="7"/>
  <c r="E38" i="7" s="1"/>
  <c r="G38" i="7" s="1"/>
  <c r="I38" i="7" s="1"/>
  <c r="K38" i="7" s="1"/>
  <c r="M38" i="7" s="1"/>
  <c r="O38" i="7" s="1"/>
  <c r="Q38" i="7" s="1"/>
  <c r="S38" i="7" s="1"/>
  <c r="E39" i="6" l="1"/>
  <c r="E40" i="6" s="1"/>
  <c r="C52" i="7"/>
  <c r="Q51" i="7"/>
  <c r="M51" i="7"/>
  <c r="I51" i="7"/>
  <c r="E51" i="7"/>
  <c r="S50" i="7"/>
  <c r="Q50" i="7"/>
  <c r="O50" i="7"/>
  <c r="M50" i="7"/>
  <c r="K50" i="7"/>
  <c r="I50" i="7"/>
  <c r="G50" i="7"/>
  <c r="E50" i="7"/>
  <c r="C50" i="7"/>
  <c r="S49" i="7"/>
  <c r="Q49" i="7"/>
  <c r="O49" i="7"/>
  <c r="M49" i="7"/>
  <c r="K49" i="7"/>
  <c r="I49" i="7"/>
  <c r="G49" i="7"/>
  <c r="E49" i="7"/>
  <c r="C49" i="7"/>
  <c r="S48" i="7"/>
  <c r="Q48" i="7"/>
  <c r="O48" i="7"/>
  <c r="M48" i="7"/>
  <c r="K48" i="7"/>
  <c r="I48" i="7"/>
  <c r="G48" i="7"/>
  <c r="E48" i="7"/>
  <c r="Q47" i="7"/>
  <c r="M47" i="7"/>
  <c r="I47" i="7"/>
  <c r="E47" i="7"/>
  <c r="S44" i="7"/>
  <c r="Q44" i="7"/>
  <c r="O44" i="7"/>
  <c r="M44" i="7"/>
  <c r="K44" i="7"/>
  <c r="I44" i="7"/>
  <c r="G44" i="7"/>
  <c r="E44" i="7"/>
  <c r="C44" i="7"/>
  <c r="R39" i="7"/>
  <c r="S42" i="7" s="1"/>
  <c r="P39" i="7"/>
  <c r="Q43" i="7" s="1"/>
  <c r="N39" i="7"/>
  <c r="O42" i="7" s="1"/>
  <c r="L39" i="7"/>
  <c r="J39" i="7"/>
  <c r="K42" i="7" s="1"/>
  <c r="H39" i="7"/>
  <c r="I43" i="7" s="1"/>
  <c r="F39" i="7"/>
  <c r="G42" i="7" s="1"/>
  <c r="D39" i="7"/>
  <c r="B39" i="7"/>
  <c r="C43" i="7" s="1"/>
  <c r="K11" i="7"/>
  <c r="J7" i="7"/>
  <c r="S6" i="7"/>
  <c r="Q6" i="7"/>
  <c r="O6" i="7"/>
  <c r="M6" i="7"/>
  <c r="K6" i="7"/>
  <c r="I6" i="7"/>
  <c r="G6" i="7"/>
  <c r="C6" i="7"/>
  <c r="S5" i="7"/>
  <c r="Q5" i="7"/>
  <c r="Q52" i="7" s="1"/>
  <c r="O5" i="7"/>
  <c r="M5" i="7"/>
  <c r="M52" i="7" s="1"/>
  <c r="K5" i="7"/>
  <c r="I5" i="7"/>
  <c r="I52" i="7" s="1"/>
  <c r="G5" i="7"/>
  <c r="G17" i="7" s="1"/>
  <c r="C5" i="7"/>
  <c r="C51" i="7" s="1"/>
  <c r="G43" i="7" l="1"/>
  <c r="G41" i="7"/>
  <c r="F45" i="7" s="1"/>
  <c r="I42" i="7"/>
  <c r="O43" i="7"/>
  <c r="O41" i="7"/>
  <c r="K41" i="7"/>
  <c r="K43" i="7"/>
  <c r="S43" i="7"/>
  <c r="S41" i="7"/>
  <c r="C42" i="7"/>
  <c r="C41" i="7"/>
  <c r="O52" i="7"/>
  <c r="O18" i="7"/>
  <c r="O17" i="7"/>
  <c r="O51" i="7"/>
  <c r="O47" i="7"/>
  <c r="K9" i="7"/>
  <c r="N7" i="7"/>
  <c r="O11" i="7"/>
  <c r="G14" i="7"/>
  <c r="G16" i="7"/>
  <c r="D53" i="7"/>
  <c r="K51" i="7"/>
  <c r="K47" i="7"/>
  <c r="K52" i="7"/>
  <c r="K18" i="7"/>
  <c r="K17" i="7"/>
  <c r="K16" i="7"/>
  <c r="K15" i="7"/>
  <c r="K14" i="7"/>
  <c r="K13" i="7"/>
  <c r="S51" i="7"/>
  <c r="S47" i="7"/>
  <c r="S52" i="7"/>
  <c r="S18" i="7"/>
  <c r="S17" i="7"/>
  <c r="S16" i="7"/>
  <c r="S15" i="7"/>
  <c r="S14" i="7"/>
  <c r="S13" i="7"/>
  <c r="R7" i="7"/>
  <c r="S11" i="7"/>
  <c r="O14" i="7"/>
  <c r="O16" i="7"/>
  <c r="H53" i="7"/>
  <c r="F7" i="7"/>
  <c r="G11" i="7"/>
  <c r="G13" i="7"/>
  <c r="G15" i="7"/>
  <c r="L53" i="7"/>
  <c r="G52" i="7"/>
  <c r="G18" i="7"/>
  <c r="G51" i="7"/>
  <c r="G47" i="7"/>
  <c r="K8" i="7"/>
  <c r="K10" i="7"/>
  <c r="O13" i="7"/>
  <c r="O15" i="7"/>
  <c r="P53" i="7"/>
  <c r="E42" i="7"/>
  <c r="M42" i="7"/>
  <c r="B7" i="7"/>
  <c r="L7" i="7"/>
  <c r="C11" i="7"/>
  <c r="M11" i="7"/>
  <c r="C13" i="7"/>
  <c r="M13" i="7"/>
  <c r="C14" i="7"/>
  <c r="M14" i="7"/>
  <c r="C15" i="7"/>
  <c r="M15" i="7"/>
  <c r="C16" i="7"/>
  <c r="M16" i="7"/>
  <c r="C17" i="7"/>
  <c r="M17" i="7"/>
  <c r="C18" i="7"/>
  <c r="M18" i="7"/>
  <c r="I41" i="7"/>
  <c r="Q41" i="7"/>
  <c r="E43" i="7"/>
  <c r="M43" i="7"/>
  <c r="E52" i="7"/>
  <c r="Q42" i="7"/>
  <c r="H7" i="7"/>
  <c r="P7" i="7"/>
  <c r="I11" i="7"/>
  <c r="Q11" i="7"/>
  <c r="I13" i="7"/>
  <c r="H19" i="7" s="1"/>
  <c r="Q13" i="7"/>
  <c r="I14" i="7"/>
  <c r="Q14" i="7"/>
  <c r="I15" i="7"/>
  <c r="Q15" i="7"/>
  <c r="I16" i="7"/>
  <c r="Q16" i="7"/>
  <c r="I17" i="7"/>
  <c r="Q17" i="7"/>
  <c r="I18" i="7"/>
  <c r="Q18" i="7"/>
  <c r="E41" i="7"/>
  <c r="D45" i="7" s="1"/>
  <c r="M41" i="7"/>
  <c r="B53" i="7"/>
  <c r="H45" i="7" l="1"/>
  <c r="H54" i="7" s="1"/>
  <c r="H56" i="7" s="1"/>
  <c r="B45" i="7"/>
  <c r="B54" i="7" s="1"/>
  <c r="B56" i="7" s="1"/>
  <c r="D54" i="7"/>
  <c r="D56" i="7" s="1"/>
  <c r="R45" i="7"/>
  <c r="N45" i="7"/>
  <c r="J45" i="7"/>
  <c r="L45" i="7"/>
  <c r="L54" i="7" s="1"/>
  <c r="L56" i="7" s="1"/>
  <c r="P45" i="7"/>
  <c r="P54" i="7" s="1"/>
  <c r="P56" i="7" s="1"/>
  <c r="Q10" i="7"/>
  <c r="Q9" i="7"/>
  <c r="Q8" i="7"/>
  <c r="L19" i="7"/>
  <c r="O10" i="7"/>
  <c r="O9" i="7"/>
  <c r="O8" i="7"/>
  <c r="M10" i="7"/>
  <c r="M9" i="7"/>
  <c r="M8" i="7"/>
  <c r="L12" i="7" s="1"/>
  <c r="L20" i="7" s="1"/>
  <c r="L22" i="7" s="1"/>
  <c r="C10" i="7"/>
  <c r="C9" i="7"/>
  <c r="C8" i="7"/>
  <c r="B12" i="7" s="1"/>
  <c r="B20" i="7" s="1"/>
  <c r="B22" i="7" s="1"/>
  <c r="J12" i="7"/>
  <c r="F19" i="7"/>
  <c r="S10" i="7"/>
  <c r="S9" i="7"/>
  <c r="S8" i="7"/>
  <c r="R53" i="7"/>
  <c r="F53" i="7"/>
  <c r="F54" i="7" s="1"/>
  <c r="F56" i="7" s="1"/>
  <c r="R19" i="7"/>
  <c r="J53" i="7"/>
  <c r="J54" i="7" s="1"/>
  <c r="J56" i="7" s="1"/>
  <c r="P19" i="7"/>
  <c r="H20" i="7"/>
  <c r="H22" i="7" s="1"/>
  <c r="I10" i="7"/>
  <c r="I9" i="7"/>
  <c r="I8" i="7"/>
  <c r="H12" i="7" s="1"/>
  <c r="B19" i="7"/>
  <c r="N19" i="7"/>
  <c r="G10" i="7"/>
  <c r="G9" i="7"/>
  <c r="G8" i="7"/>
  <c r="J19" i="7"/>
  <c r="N53" i="7"/>
  <c r="E61" i="4"/>
  <c r="R54" i="7" l="1"/>
  <c r="R56" i="7" s="1"/>
  <c r="N54" i="7"/>
  <c r="N56" i="7" s="1"/>
  <c r="B57" i="7"/>
  <c r="B60" i="7" s="1"/>
  <c r="R12" i="7"/>
  <c r="R20" i="7" s="1"/>
  <c r="R22" i="7" s="1"/>
  <c r="N12" i="7"/>
  <c r="N20" i="7" s="1"/>
  <c r="N22" i="7" s="1"/>
  <c r="F12" i="7"/>
  <c r="F20" i="7" s="1"/>
  <c r="F22" i="7" s="1"/>
  <c r="B23" i="7" s="1"/>
  <c r="J20" i="7"/>
  <c r="J22" i="7" s="1"/>
  <c r="P12" i="7"/>
  <c r="P20" i="7" s="1"/>
  <c r="P22" i="7" s="1"/>
  <c r="E62" i="4"/>
  <c r="E63" i="4" s="1"/>
  <c r="B26" i="7" l="1"/>
  <c r="B27" i="7" s="1"/>
  <c r="B28" i="7"/>
  <c r="B61" i="7"/>
  <c r="B62" i="7" s="1"/>
  <c r="E41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Anyelo Duvan Echavarria Arango</author>
  </authors>
  <commentList>
    <comment ref="F4" authorId="0" shapeId="0" xr:uid="{89043B96-F980-4261-9983-2C247E9C3078}">
      <text>
        <r>
          <rPr>
            <sz val="9"/>
            <color indexed="81"/>
            <rFont val="Tahoma"/>
            <family val="2"/>
          </rPr>
          <t xml:space="preserve">Este valor corresponde al valor de acuerdo a la descripción del producto, por ejemplo:
PAPEL HIGIENICO X 4 rollos - El valor unitario sería el precio para el paquete de 4 rollos.
</t>
        </r>
      </text>
    </comment>
  </commentList>
</comments>
</file>

<file path=xl/sharedStrings.xml><?xml version="1.0" encoding="utf-8"?>
<sst xmlns="http://schemas.openxmlformats.org/spreadsheetml/2006/main" count="323" uniqueCount="195">
  <si>
    <t>OPCIÓN 1 - PERSONAL PARA INSTALACIONES PLAZA MAYOR CON TODOS LOS APORTES</t>
  </si>
  <si>
    <t>Personal de aseo</t>
  </si>
  <si>
    <t>Personal de aseo y logística con alturas</t>
  </si>
  <si>
    <t>Almacenista</t>
  </si>
  <si>
    <t>Mantenimiento obras blanca, obra gris y plomería con alturas</t>
  </si>
  <si>
    <t>Mantenimiento eléctrico con alturas</t>
  </si>
  <si>
    <t>Cafetería</t>
  </si>
  <si>
    <t>Aseo medio tiempo</t>
  </si>
  <si>
    <t>Supervisores con alturas</t>
  </si>
  <si>
    <t>CONCEPTO</t>
  </si>
  <si>
    <t>Turno (L - S 48 Horas)</t>
  </si>
  <si>
    <t>Turno (L - S 24 Horas)</t>
  </si>
  <si>
    <t>%</t>
  </si>
  <si>
    <t>VALOR</t>
  </si>
  <si>
    <t>SALARIO</t>
  </si>
  <si>
    <t>AUXILIO TRANSPORTE</t>
  </si>
  <si>
    <t>TOTAL SALARIOS</t>
  </si>
  <si>
    <t>CESANTIAS</t>
  </si>
  <si>
    <t>PRIMA DE SERVICIOS</t>
  </si>
  <si>
    <t>INTERESES A LAS CESANTIAS</t>
  </si>
  <si>
    <t>VACACIONES</t>
  </si>
  <si>
    <t>SUBTOTAL</t>
  </si>
  <si>
    <t>SALUD</t>
  </si>
  <si>
    <t>PENSIONES</t>
  </si>
  <si>
    <t>A.R.L</t>
  </si>
  <si>
    <t>CAJA DE COMPENSACION</t>
  </si>
  <si>
    <t>ICBF</t>
  </si>
  <si>
    <t>SENA</t>
  </si>
  <si>
    <t>SUBTOTAL COSTO UNITARIO</t>
  </si>
  <si>
    <t>NUMERO DE PERSONAS</t>
  </si>
  <si>
    <t>TOTAL COSTO LABORAL POR NUMERO DE PERSONAS</t>
  </si>
  <si>
    <t xml:space="preserve"> SUB TOTAL MENSUAL BASE</t>
  </si>
  <si>
    <t>INDICAR % ADMINISTRACIÓN (A)</t>
  </si>
  <si>
    <t>INDICAR % UTILIDAD (U)</t>
  </si>
  <si>
    <t>TOTAL AU</t>
  </si>
  <si>
    <t>IVA SOBRE EL AU</t>
  </si>
  <si>
    <t>TOTAL MENSUAL IVA INCLUIDO</t>
  </si>
  <si>
    <t>formato 4. Personal fijo</t>
  </si>
  <si>
    <t>OPCIÓN 2- PERSONAL PARA INSTALACIONES PLAZA MAYOR CON BENEFICION POR LEY 1819 DE 2016</t>
  </si>
  <si>
    <t>Personal de aseo y logística con alturas
(6 logística y 4 aseo)</t>
  </si>
  <si>
    <t>Formato 5. personal eventual</t>
  </si>
  <si>
    <t>DESCRIPCIÓN</t>
  </si>
  <si>
    <t>ASEO Y LOGISTICA 
SIN ALTURAS</t>
  </si>
  <si>
    <t>SUPERVISOR SIN ALTURAS</t>
  </si>
  <si>
    <t>CANTIDAD HORAS/DÍA</t>
  </si>
  <si>
    <t xml:space="preserve">TOTAL </t>
  </si>
  <si>
    <t>GRAN TOTAL</t>
  </si>
  <si>
    <t>ESPECIFICACIONES TÉCNICAS</t>
  </si>
  <si>
    <t>CANTIDAD</t>
  </si>
  <si>
    <t>Doble motor. Filtro H.E.P.A. Capacidad: 30 L. Potencia 1500W. Voltaje: 110V</t>
  </si>
  <si>
    <t>Aspiradora vertical con cepillo para alfombras</t>
  </si>
  <si>
    <t>Doble motor. Filtro H.E.P.A. Capacidad: 30 L. Potencia 1500W. Voltaje: 110V. Capacidad: 5,5L. Potencia 1000W. Voltaje: 110V. Diámetro de boquilla 35 mm</t>
  </si>
  <si>
    <t>Aspiradora de cepillos para alfombra</t>
  </si>
  <si>
    <t>Caudal de aire: 2x52 l/s. Vacío: 143/14,3 mbar/kPa. Capacidad del depósito: 35 l. Máxima potencia absorbida: 1650 W.  Anchura de trabajo: 660 mm. Nivel de intensidad sonora: 73 dbA. Peso neto: 72 kg. Aspirador con dos cepillos cilíndricos contrarrotativos. Limpieza rápida y eficiente de superficies enmoquetadas. Con bolsa de filtro de fácil sustitución. Asa regulable en altura.</t>
  </si>
  <si>
    <t>Sopladora</t>
  </si>
  <si>
    <t>Cilindrada 75,6 cc Motor 4 tiempos. Potencia 3,7 kw/ CV. Alcance horizontal: 12 m. Alcance vertical: 11 m. Peso 11 kg. Sistema antivibratorio, ergonómica, doble correa ajustable, encendido electrónico, tres rejillas de descarga, 6 posiciones dosificadoras y opción de aplicar con ULV.</t>
  </si>
  <si>
    <t>Hidrolavadora</t>
  </si>
  <si>
    <t>Máquina lavapisos</t>
  </si>
  <si>
    <t>Máquina rotativa lavapisos.</t>
  </si>
  <si>
    <t>Cepillo lavapisos</t>
  </si>
  <si>
    <t>Cepillo para máquina lavapisos</t>
  </si>
  <si>
    <t>Portapad</t>
  </si>
  <si>
    <t>Accesorio para la máquina lavapisos</t>
  </si>
  <si>
    <t>Carro de limpieza portaelementos</t>
  </si>
  <si>
    <t xml:space="preserve">Carro que permita llevar consigo todos los elementos requeridos durante un proceso de limpieza. Llantas que no dejan marcas en la superficie y que no generan ruidos durante el desplazamiento. Llantas traseras fijas y delanteras que giran a 360° para un mejor control del carro por parte del operario de limpieza. Bolsa resistente de vinilo con cierre lateral, elemento que facilita el vaciado de los residuos contenidos en ella. </t>
  </si>
  <si>
    <t>Balde escurridor</t>
  </si>
  <si>
    <t>Carro cafetería</t>
  </si>
  <si>
    <t>Manguera 50m con pistola</t>
  </si>
  <si>
    <t xml:space="preserve">Extensión eléctrica </t>
  </si>
  <si>
    <t>Escalera de 10 peldaños</t>
  </si>
  <si>
    <t>En aluminio</t>
  </si>
  <si>
    <t>Escalera de 8 peldaños</t>
  </si>
  <si>
    <t>Escalera de 4 peldaños</t>
  </si>
  <si>
    <t>Letrero piso (señalización)</t>
  </si>
  <si>
    <t>Plumillas para limpieza de vidrios + Mopa</t>
  </si>
  <si>
    <t>Kit de derrame</t>
  </si>
  <si>
    <t>Utilizado para limpiar fluidos</t>
  </si>
  <si>
    <t xml:space="preserve">Escurridor de piso </t>
  </si>
  <si>
    <t>Papeleras</t>
  </si>
  <si>
    <t>Radios comunicación interna con manos libres y cargador</t>
  </si>
  <si>
    <t>Radios de largo alcance, radio digital de dos vías DTR 720  certificación IP54 y funciona en 900 MHz.</t>
  </si>
  <si>
    <t>Freno</t>
  </si>
  <si>
    <t xml:space="preserve">Línea de vida </t>
  </si>
  <si>
    <t>SUB TOTAL</t>
  </si>
  <si>
    <t>IVA (19%)</t>
  </si>
  <si>
    <t>TOTAL</t>
  </si>
  <si>
    <t>formato 7.suministros de insumos</t>
  </si>
  <si>
    <t>PRODUCTO</t>
  </si>
  <si>
    <t>CANT</t>
  </si>
  <si>
    <t xml:space="preserve">ACEITE 2 TIEMPOS </t>
  </si>
  <si>
    <t>ALCOHOL INDUSTRIAL 1900 ML</t>
  </si>
  <si>
    <t xml:space="preserve">AMBIENTADOR ELECTRICO </t>
  </si>
  <si>
    <t>AMBIENTADOR EN AEROSOL X 400CC</t>
  </si>
  <si>
    <t>ATOMIZADOR O DOSIFICADOR CON SPRAY 1 LTR</t>
  </si>
  <si>
    <t>BALDE PLASTICO 10 LTS</t>
  </si>
  <si>
    <t>BOLSA NEGRA 65 X 90 CAL 0.8.(100unidades)</t>
  </si>
  <si>
    <t>BOLSA ROJA 60 X 60 CAL 1.4 (100unidades)</t>
  </si>
  <si>
    <t>BOLSA VERDE 46 X 46 CAL 0.8. (100unidades)</t>
  </si>
  <si>
    <t>BOMBA PARA DESTAQUEAR BAÑOS</t>
  </si>
  <si>
    <t>CEPILLO TIPO PLANCHA PLASTICO</t>
  </si>
  <si>
    <t>CREMA LIMPIADORA Y DESENGRASANTE x 500 GR</t>
  </si>
  <si>
    <t>DESENGRASANTE JABÓN LQUIDO X 20 LTS</t>
  </si>
  <si>
    <t>DESINFECTANTE  LIMON X 20 LITROS</t>
  </si>
  <si>
    <t>DESINTEGRADOR DE MATERIA ORGANICA X 20LT</t>
  </si>
  <si>
    <t>DETERGENTE EN POLVO X 1.000 GR</t>
  </si>
  <si>
    <t>ESCOBA PLASTICA BLANDA</t>
  </si>
  <si>
    <t>ESCOBA PLASTICA DURA</t>
  </si>
  <si>
    <t>FIBRA ABRASIVA DE LIMPIEZA VERDE 10 X 14 CM</t>
  </si>
  <si>
    <t>GASOLINA CORRIENTE POR 20 LITROS</t>
  </si>
  <si>
    <t>HIPOCLORITO DE SODIO AL 13% X 20 LITROS</t>
  </si>
  <si>
    <t>JABÓN LAVAPLATOS EN CREMA 500 GRAMOS</t>
  </si>
  <si>
    <t>JABON PARA MANOS FAMILIA REF 8053 PRESENTACION 1 LITRO</t>
  </si>
  <si>
    <t>JABON PASTA AZUL X 300 GRM</t>
  </si>
  <si>
    <t>LIMPIADOR DE ACERO INOXIDABLE 3M 600 GR</t>
  </si>
  <si>
    <t>LIMPIADOR DE PISOS AROMATIZANTE X 20 LT</t>
  </si>
  <si>
    <t>LIMPIADOR DESINCRUSTANTE X 20 LT</t>
  </si>
  <si>
    <t>LIMPIAVIDRIOS  20 LITROS</t>
  </si>
  <si>
    <t>PAD 17" (ROJO,CAFE,NEGRO,BLANCO)</t>
  </si>
  <si>
    <t>PAÑO DE MICRO FIBRA PARA LIMPIAR VIDRIOS</t>
  </si>
  <si>
    <t>PAPEL HIGIENICO HS X 4 rollos x 400 mts. Referencia 71107. Familia</t>
  </si>
  <si>
    <t>REPUESTO AMBIENTADOR ELECTRICO</t>
  </si>
  <si>
    <t>SACUDIDOR 50 X 70</t>
  </si>
  <si>
    <t>TRAPERO DE PABILO</t>
  </si>
  <si>
    <t>VARSOL SIN OLOR X 500 CC</t>
  </si>
  <si>
    <t>BOLSA PARA LA ASPIRADORA GRANDE (PAQUETE X10)</t>
  </si>
  <si>
    <t>BOLSAS PARA ASPIRADORA PEQUEÑA (PAQUETE X10)</t>
  </si>
  <si>
    <t>IVA</t>
  </si>
  <si>
    <t>TOTAL IVA INCLUIDO</t>
  </si>
  <si>
    <t>Almacenista con alturas</t>
  </si>
  <si>
    <t>Personal de aseo (manejo de residuos peligrosos y aseo hospitalario)</t>
  </si>
  <si>
    <t>GEL ANTIBACTERIAL REF. 80520 FAMILIA</t>
  </si>
  <si>
    <t xml:space="preserve">PAÑO BLANCO FAMITEX semi desechable. Referencia 74301 x caja de 15 (10 cada uno) </t>
  </si>
  <si>
    <t>RECOGEDOR PLASTICO</t>
  </si>
  <si>
    <t>TOALLA DE MANOS FAMILIA REFERENCIA 73687 PRESENTACION CAJA 6 UNIDADES</t>
  </si>
  <si>
    <t>TELA DE HARAGAN 1,00 X 0,9 MT (TIPO TOALLA) CALIBRE GRUESO  PQ. X6</t>
  </si>
  <si>
    <t>BOLSA BLANCA 65X90 CAL 0,8 (100unidades)</t>
  </si>
  <si>
    <t>BOLSA BLANCA 90 X 120 CAL 0.8 (100unidades)</t>
  </si>
  <si>
    <t>BOLSA VERDE 90 X 120 CAL 0.8 (100unidades)</t>
  </si>
  <si>
    <t>BOLSA NEGRA 90 X 120 CAL 0.8 (100unidades)</t>
  </si>
  <si>
    <t>VALOR UNITARIO OFERTADO</t>
  </si>
  <si>
    <t>VALOR UNITARIO TECHO</t>
  </si>
  <si>
    <t>Aspiradora  seco / húmedo</t>
  </si>
  <si>
    <t>Hidrolavadora de alta presión de agua fría y eléctrica Voltaje: 110 V. Para la entrada de agua: 10 metros de manguera y filtro para retención de sedimentos de 60 micras. Para la salida de agua: 10 metros de manguera de alta presión</t>
  </si>
  <si>
    <t>Scruber, Máquina limpiadora de pisos, hombre abordo</t>
  </si>
  <si>
    <t xml:space="preserve">Este equipo deberá tener como mínimo estas características técnicas. Podrán mejorar o aumentar las especificaciones técnicas, pero en ningún momento podrán desmejorar.  Cepillo 85 cm mínimo- velocidad: 260 RPM -Squeegee ancho mínimo 93cm. Fácil acceso: El depósito del agua sucia es perfectamente accesible, por lo que se pueden eliminar eficazmente los depósitos de suciedad que pudiera haber en el mismo. </t>
  </si>
  <si>
    <t xml:space="preserve">Balde con ruedas incorporadas para el fácil arrastre o desplazamiento y con elemento escurridor de traperos. </t>
  </si>
  <si>
    <t>Coche para portar elementos de cafetería y alimentos bebidas (vasos, platos, termos, cubiertos, etc.)</t>
  </si>
  <si>
    <t>50 metros en cable encauchetado</t>
  </si>
  <si>
    <t>Dieléctrica</t>
  </si>
  <si>
    <t>Plástica o aluminio</t>
  </si>
  <si>
    <t>Señalización de prevención para piso húmedo y, baños cerrados o fuera de servicio.</t>
  </si>
  <si>
    <t xml:space="preserve">mínimo 35 cm </t>
  </si>
  <si>
    <t>mínimo 60 cm</t>
  </si>
  <si>
    <t xml:space="preserve"> Grandes superficies</t>
  </si>
  <si>
    <t>Papelera plástica color negro XXX litros para bolsa 46cm x 46cm</t>
  </si>
  <si>
    <t>Papelera plástica color negro 53 litros para bolsa 65 cm x 90</t>
  </si>
  <si>
    <t>Casco con barbuquejo de 3 o 4 puntos</t>
  </si>
  <si>
    <t>Arnés</t>
  </si>
  <si>
    <t>Arnés cuerpo entero, en "X", Doble reglaje, Multipropósito, 4 argollas, Certificado, Con argollas recubiertas para evitar el Oxido.</t>
  </si>
  <si>
    <t>Eslinga posicionamiento</t>
  </si>
  <si>
    <t>Eslinga posicionamiento y restricción, en cuerda, Posicionamiento, Longitud 1,6mt, gancho 18mm abertura, en cada extremo</t>
  </si>
  <si>
    <t>Eslinga en y con absorvedor</t>
  </si>
  <si>
    <t>Eslinga desplazamiento con reductor de impacto, en cuerda, gancho de 18 conexión al arnés y de 60mm de abertura C/extremo</t>
  </si>
  <si>
    <t>Bloqueador, Freno o Arrestador de caídas en acero, automático, de tránsito en doble vía, para trabajo sobre cuerdas sintéticas de 12 a 15mm de diámetro, es importado, cumple Resolución 4272/2021</t>
  </si>
  <si>
    <t>Mosquetón</t>
  </si>
  <si>
    <t>Mosquetón tipo eslabón, en acero, de doble seguro automático, resistencia mínima a la tensión 40KN, importado, cumple Resolución 4272/2021</t>
  </si>
  <si>
    <t>Tramo de cuerda de alma y funda trenzada de 13mm de diámetro, con ojal preformado, protector de costura, longitud 50 metros, producto certificado UNE EN 1891</t>
  </si>
  <si>
    <t>Kit de rescate de emergencia en alturas</t>
  </si>
  <si>
    <t>Resolución 4272/2021 (plan de emergencias)</t>
  </si>
  <si>
    <t>73528 TOALLA DE MANOS HD EN Z BCO X 150</t>
  </si>
  <si>
    <t>UNIDADES</t>
  </si>
  <si>
    <t>ÁCIDO MURIATICO</t>
  </si>
  <si>
    <t>CUÑETES</t>
  </si>
  <si>
    <t>ÁCIDO NITRICO</t>
  </si>
  <si>
    <t>PAQUETES X50</t>
  </si>
  <si>
    <t>PAQUETES</t>
  </si>
  <si>
    <t>DESENGRASANTE VH12 CUÑETE X 20 L</t>
  </si>
  <si>
    <t>ESCOBILLON PARA BAÑOS</t>
  </si>
  <si>
    <t>PAQUETES X24</t>
  </si>
  <si>
    <t>GLOLIMPIA</t>
  </si>
  <si>
    <t>HC-CLEAN-LIMPIADOR DE TINTAS Y ADHESIVOS</t>
  </si>
  <si>
    <t>JABÓN LIQUIDO PARA MANOS X20 LTS</t>
  </si>
  <si>
    <t>CAJAS X5</t>
  </si>
  <si>
    <t>PAQUETES X10</t>
  </si>
  <si>
    <t>PACAS</t>
  </si>
  <si>
    <t>PLUS 20 </t>
  </si>
  <si>
    <t>STC GALON POR 4 LTRS</t>
  </si>
  <si>
    <t>GALON</t>
  </si>
  <si>
    <t>VALOR UNITARIO</t>
  </si>
  <si>
    <t>VALOR TOTAL ANTES DE IVA</t>
  </si>
  <si>
    <t>PAQUETE</t>
  </si>
  <si>
    <t>BOLSA</t>
  </si>
  <si>
    <t>Formato 6. Maquinaria</t>
  </si>
  <si>
    <t>CAFETERÍA</t>
  </si>
  <si>
    <t>BOTELLA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</si>
</sst>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-&quot;$&quot;\ * #,##0_-;\-&quot;$&quot;\ * #,##0_-;_-&quot;$&quot;\ * &quot;-&quot;_-;_-@_-"/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_-&quot;$&quot;* #,##0.00_-;\-&quot;$&quot;* #,##0.00_-;_-&quot;$&quot;* &quot;-&quot;??_-;_-@_-"/>
    <numFmt numFmtId="166" formatCode="_(&quot;$&quot;\ * #,##0_);_(&quot;$&quot;\ * \(#,##0\);_(&quot;$&quot;\ * &quot;-&quot;??_);_(@_)"/>
    <numFmt numFmtId="167" formatCode="_-&quot;$&quot;* #,##0_-;\-&quot;$&quot;* #,##0_-;_-&quot;$&quot;* &quot;-&quot;??_-;_-@_-"/>
    <numFmt numFmtId="168" formatCode="0.0%"/>
    <numFmt numFmtId="169" formatCode="&quot;$&quot;#,##0"/>
    <numFmt numFmtId="170" formatCode="_-&quot;$&quot;\ * #,##0_-;\-&quot;$&quot;\ * #,##0_-;_-&quot;$&quot;\ 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0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DFFE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2">
    <xf numFmtId="0" fontId="0" fillId="0" borderId="0" xfId="0"/>
    <xf numFmtId="164" fontId="4" fillId="0" borderId="2" xfId="0" applyNumberFormat="1" applyFont="1" applyBorder="1" applyAlignment="1">
      <alignment vertical="center" wrapText="1"/>
    </xf>
    <xf numFmtId="164" fontId="4" fillId="3" borderId="2" xfId="0" applyNumberFormat="1" applyFont="1" applyFill="1" applyBorder="1" applyAlignment="1">
      <alignment horizontal="center"/>
    </xf>
    <xf numFmtId="164" fontId="6" fillId="0" borderId="2" xfId="0" applyNumberFormat="1" applyFont="1" applyBorder="1" applyAlignment="1">
      <alignment horizontal="left"/>
    </xf>
    <xf numFmtId="164" fontId="6" fillId="0" borderId="2" xfId="0" applyNumberFormat="1" applyFont="1" applyBorder="1" applyAlignment="1">
      <alignment horizontal="center"/>
    </xf>
    <xf numFmtId="166" fontId="6" fillId="0" borderId="2" xfId="4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0" fontId="6" fillId="0" borderId="2" xfId="3" applyNumberFormat="1" applyFont="1" applyFill="1" applyBorder="1" applyAlignment="1">
      <alignment horizontal="center"/>
    </xf>
    <xf numFmtId="167" fontId="0" fillId="0" borderId="0" xfId="0" applyNumberFormat="1"/>
    <xf numFmtId="164" fontId="4" fillId="3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 wrapText="1"/>
    </xf>
    <xf numFmtId="164" fontId="4" fillId="3" borderId="13" xfId="0" applyNumberFormat="1" applyFont="1" applyFill="1" applyBorder="1" applyAlignment="1">
      <alignment horizontal="center"/>
    </xf>
    <xf numFmtId="164" fontId="4" fillId="3" borderId="14" xfId="0" applyNumberFormat="1" applyFont="1" applyFill="1" applyBorder="1" applyAlignment="1">
      <alignment horizontal="center"/>
    </xf>
    <xf numFmtId="164" fontId="4" fillId="3" borderId="15" xfId="0" applyNumberFormat="1" applyFont="1" applyFill="1" applyBorder="1" applyAlignment="1">
      <alignment horizontal="center"/>
    </xf>
    <xf numFmtId="164" fontId="6" fillId="5" borderId="2" xfId="0" applyNumberFormat="1" applyFont="1" applyFill="1" applyBorder="1" applyAlignment="1">
      <alignment horizontal="left"/>
    </xf>
    <xf numFmtId="164" fontId="6" fillId="5" borderId="6" xfId="0" applyNumberFormat="1" applyFont="1" applyFill="1" applyBorder="1" applyAlignment="1">
      <alignment horizontal="center"/>
    </xf>
    <xf numFmtId="0" fontId="0" fillId="5" borderId="0" xfId="0" applyFill="1"/>
    <xf numFmtId="164" fontId="6" fillId="5" borderId="2" xfId="0" applyNumberFormat="1" applyFont="1" applyFill="1" applyBorder="1" applyAlignment="1">
      <alignment horizontal="center"/>
    </xf>
    <xf numFmtId="166" fontId="6" fillId="5" borderId="2" xfId="4" applyNumberFormat="1" applyFont="1" applyFill="1" applyBorder="1" applyAlignment="1">
      <alignment horizontal="center"/>
    </xf>
    <xf numFmtId="164" fontId="4" fillId="5" borderId="2" xfId="0" applyNumberFormat="1" applyFont="1" applyFill="1" applyBorder="1" applyAlignment="1">
      <alignment horizontal="center" vertical="center" wrapText="1"/>
    </xf>
    <xf numFmtId="10" fontId="6" fillId="5" borderId="2" xfId="3" applyNumberFormat="1" applyFont="1" applyFill="1" applyBorder="1" applyAlignment="1">
      <alignment horizontal="center"/>
    </xf>
    <xf numFmtId="164" fontId="0" fillId="5" borderId="0" xfId="0" applyNumberFormat="1" applyFill="1"/>
    <xf numFmtId="0" fontId="4" fillId="3" borderId="2" xfId="0" applyFont="1" applyFill="1" applyBorder="1" applyAlignment="1">
      <alignment horizontal="center" vertical="center" wrapText="1"/>
    </xf>
    <xf numFmtId="0" fontId="0" fillId="0" borderId="2" xfId="2" applyNumberFormat="1" applyFont="1" applyBorder="1" applyAlignment="1">
      <alignment horizontal="center" vertical="center"/>
    </xf>
    <xf numFmtId="42" fontId="0" fillId="6" borderId="2" xfId="0" applyNumberFormat="1" applyFill="1" applyBorder="1"/>
    <xf numFmtId="42" fontId="0" fillId="0" borderId="0" xfId="0" applyNumberFormat="1"/>
    <xf numFmtId="0" fontId="3" fillId="0" borderId="0" xfId="0" applyFont="1"/>
    <xf numFmtId="0" fontId="0" fillId="0" borderId="0" xfId="0" applyAlignment="1">
      <alignment wrapText="1"/>
    </xf>
    <xf numFmtId="168" fontId="5" fillId="0" borderId="0" xfId="0" applyNumberFormat="1" applyFont="1" applyAlignment="1">
      <alignment wrapText="1"/>
    </xf>
    <xf numFmtId="168" fontId="0" fillId="0" borderId="0" xfId="0" applyNumberFormat="1" applyAlignment="1">
      <alignment wrapText="1"/>
    </xf>
    <xf numFmtId="164" fontId="9" fillId="3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42" fontId="12" fillId="0" borderId="2" xfId="2" applyFont="1" applyFill="1" applyBorder="1" applyAlignment="1">
      <alignment vertical="center" wrapText="1"/>
    </xf>
    <xf numFmtId="0" fontId="11" fillId="0" borderId="2" xfId="0" applyFont="1" applyBorder="1" applyAlignment="1">
      <alignment horizontal="left" wrapText="1"/>
    </xf>
    <xf numFmtId="0" fontId="11" fillId="0" borderId="2" xfId="0" applyFont="1" applyBorder="1" applyAlignment="1">
      <alignment horizontal="justify" vertical="center" wrapText="1"/>
    </xf>
    <xf numFmtId="42" fontId="9" fillId="3" borderId="2" xfId="2" applyFont="1" applyFill="1" applyBorder="1" applyAlignment="1">
      <alignment horizontal="center" vertical="center" wrapText="1"/>
    </xf>
    <xf numFmtId="170" fontId="0" fillId="0" borderId="0" xfId="0" applyNumberFormat="1"/>
    <xf numFmtId="167" fontId="4" fillId="0" borderId="0" xfId="4" applyNumberFormat="1" applyFont="1" applyFill="1" applyBorder="1" applyAlignment="1">
      <alignment horizontal="left"/>
    </xf>
    <xf numFmtId="43" fontId="0" fillId="0" borderId="0" xfId="5" applyFont="1"/>
    <xf numFmtId="164" fontId="4" fillId="3" borderId="7" xfId="0" applyNumberFormat="1" applyFont="1" applyFill="1" applyBorder="1" applyAlignment="1">
      <alignment horizontal="center" vertical="center" wrapText="1"/>
    </xf>
    <xf numFmtId="166" fontId="4" fillId="0" borderId="7" xfId="4" applyNumberFormat="1" applyFont="1" applyFill="1" applyBorder="1" applyAlignment="1">
      <alignment horizontal="center"/>
    </xf>
    <xf numFmtId="166" fontId="4" fillId="0" borderId="7" xfId="4" applyNumberFormat="1" applyFont="1" applyFill="1" applyBorder="1" applyAlignment="1">
      <alignment horizontal="center" vertical="center"/>
    </xf>
    <xf numFmtId="166" fontId="4" fillId="0" borderId="7" xfId="4" applyNumberFormat="1" applyFont="1" applyFill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166" fontId="7" fillId="0" borderId="7" xfId="4" applyNumberFormat="1" applyFont="1" applyFill="1" applyBorder="1" applyAlignment="1">
      <alignment horizontal="center" vertical="center" wrapText="1"/>
    </xf>
    <xf numFmtId="166" fontId="6" fillId="5" borderId="6" xfId="4" applyNumberFormat="1" applyFont="1" applyFill="1" applyBorder="1" applyAlignment="1">
      <alignment horizontal="center"/>
    </xf>
    <xf numFmtId="164" fontId="4" fillId="0" borderId="0" xfId="0" applyNumberFormat="1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4" fillId="0" borderId="2" xfId="0" applyFont="1" applyBorder="1" applyAlignment="1">
      <alignment horizontal="center" vertical="center" wrapText="1"/>
    </xf>
    <xf numFmtId="170" fontId="11" fillId="0" borderId="2" xfId="0" applyNumberFormat="1" applyFont="1" applyBorder="1" applyAlignment="1">
      <alignment horizontal="center" vertical="center"/>
    </xf>
    <xf numFmtId="170" fontId="11" fillId="0" borderId="2" xfId="0" applyNumberFormat="1" applyFont="1" applyBorder="1" applyAlignment="1">
      <alignment vertical="center"/>
    </xf>
    <xf numFmtId="169" fontId="11" fillId="0" borderId="0" xfId="0" applyNumberFormat="1" applyFont="1" applyAlignment="1">
      <alignment vertical="center"/>
    </xf>
    <xf numFmtId="41" fontId="11" fillId="0" borderId="0" xfId="1" applyFont="1" applyAlignment="1">
      <alignment vertical="center"/>
    </xf>
    <xf numFmtId="169" fontId="11" fillId="3" borderId="2" xfId="0" applyNumberFormat="1" applyFont="1" applyFill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5" fillId="8" borderId="2" xfId="0" applyFont="1" applyFill="1" applyBorder="1" applyAlignment="1">
      <alignment horizontal="center" vertical="center" wrapText="1"/>
    </xf>
    <xf numFmtId="0" fontId="14" fillId="5" borderId="2" xfId="0" applyFont="1" applyFill="1" applyBorder="1" applyAlignment="1">
      <alignment horizontal="left" vertical="center" wrapText="1" shrinkToFit="1"/>
    </xf>
    <xf numFmtId="0" fontId="11" fillId="0" borderId="2" xfId="0" applyFont="1" applyBorder="1" applyAlignment="1">
      <alignment vertical="center"/>
    </xf>
    <xf numFmtId="0" fontId="15" fillId="10" borderId="2" xfId="0" applyFont="1" applyFill="1" applyBorder="1" applyAlignment="1">
      <alignment horizontal="center" vertical="center" wrapText="1"/>
    </xf>
    <xf numFmtId="164" fontId="6" fillId="6" borderId="2" xfId="0" applyNumberFormat="1" applyFont="1" applyFill="1" applyBorder="1" applyAlignment="1">
      <alignment horizontal="left"/>
    </xf>
    <xf numFmtId="10" fontId="6" fillId="6" borderId="2" xfId="3" applyNumberFormat="1" applyFont="1" applyFill="1" applyBorder="1" applyAlignment="1">
      <alignment horizontal="center"/>
    </xf>
    <xf numFmtId="166" fontId="6" fillId="6" borderId="2" xfId="4" applyNumberFormat="1" applyFont="1" applyFill="1" applyBorder="1" applyAlignment="1">
      <alignment horizontal="center"/>
    </xf>
    <xf numFmtId="0" fontId="0" fillId="6" borderId="0" xfId="0" applyFill="1"/>
    <xf numFmtId="167" fontId="4" fillId="5" borderId="2" xfId="4" applyNumberFormat="1" applyFont="1" applyFill="1" applyBorder="1" applyAlignment="1">
      <alignment horizontal="distributed" vertical="distributed"/>
    </xf>
    <xf numFmtId="167" fontId="4" fillId="3" borderId="2" xfId="4" applyNumberFormat="1" applyFont="1" applyFill="1" applyBorder="1" applyAlignment="1">
      <alignment horizontal="left"/>
    </xf>
    <xf numFmtId="166" fontId="7" fillId="5" borderId="2" xfId="4" applyNumberFormat="1" applyFont="1" applyFill="1" applyBorder="1" applyAlignment="1">
      <alignment horizontal="center" vertical="center" wrapText="1"/>
    </xf>
    <xf numFmtId="10" fontId="0" fillId="4" borderId="2" xfId="3" applyNumberFormat="1" applyFont="1" applyFill="1" applyBorder="1" applyAlignment="1">
      <alignment horizontal="center"/>
    </xf>
    <xf numFmtId="164" fontId="7" fillId="9" borderId="2" xfId="0" applyNumberFormat="1" applyFont="1" applyFill="1" applyBorder="1" applyAlignment="1">
      <alignment horizontal="center" vertical="center" wrapText="1"/>
    </xf>
    <xf numFmtId="164" fontId="7" fillId="9" borderId="3" xfId="0" applyNumberFormat="1" applyFont="1" applyFill="1" applyBorder="1" applyAlignment="1">
      <alignment horizontal="center" vertical="center" wrapText="1"/>
    </xf>
    <xf numFmtId="164" fontId="7" fillId="9" borderId="4" xfId="0" applyNumberFormat="1" applyFont="1" applyFill="1" applyBorder="1" applyAlignment="1">
      <alignment horizontal="center" vertical="center" wrapText="1"/>
    </xf>
    <xf numFmtId="166" fontId="4" fillId="5" borderId="2" xfId="4" applyNumberFormat="1" applyFont="1" applyFill="1" applyBorder="1" applyAlignment="1">
      <alignment horizontal="center" vertical="center" wrapText="1"/>
    </xf>
    <xf numFmtId="166" fontId="4" fillId="5" borderId="3" xfId="4" applyNumberFormat="1" applyFont="1" applyFill="1" applyBorder="1" applyAlignment="1">
      <alignment horizontal="center" vertical="center" wrapText="1"/>
    </xf>
    <xf numFmtId="166" fontId="4" fillId="5" borderId="4" xfId="4" applyNumberFormat="1" applyFont="1" applyFill="1" applyBorder="1" applyAlignment="1">
      <alignment horizontal="center"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164" fontId="4" fillId="5" borderId="7" xfId="0" applyNumberFormat="1" applyFont="1" applyFill="1" applyBorder="1" applyAlignment="1">
      <alignment horizontal="center" vertical="center" wrapText="1"/>
    </xf>
    <xf numFmtId="164" fontId="4" fillId="5" borderId="4" xfId="0" applyNumberFormat="1" applyFont="1" applyFill="1" applyBorder="1" applyAlignment="1">
      <alignment horizontal="center" vertical="center" wrapText="1"/>
    </xf>
    <xf numFmtId="166" fontId="4" fillId="5" borderId="2" xfId="4" applyNumberFormat="1" applyFont="1" applyFill="1" applyBorder="1" applyAlignment="1">
      <alignment horizontal="center" vertical="center"/>
    </xf>
    <xf numFmtId="166" fontId="4" fillId="5" borderId="2" xfId="4" applyNumberFormat="1" applyFont="1" applyFill="1" applyBorder="1" applyAlignment="1">
      <alignment horizontal="center"/>
    </xf>
    <xf numFmtId="164" fontId="4" fillId="3" borderId="2" xfId="0" applyNumberFormat="1" applyFont="1" applyFill="1" applyBorder="1" applyAlignment="1">
      <alignment horizontal="center" vertical="center" wrapText="1"/>
    </xf>
    <xf numFmtId="164" fontId="4" fillId="3" borderId="12" xfId="0" applyNumberFormat="1" applyFont="1" applyFill="1" applyBorder="1" applyAlignment="1">
      <alignment horizontal="center" vertical="center" wrapText="1"/>
    </xf>
    <xf numFmtId="166" fontId="7" fillId="5" borderId="2" xfId="4" applyNumberFormat="1" applyFont="1" applyFill="1" applyBorder="1" applyAlignment="1">
      <alignment horizontal="center"/>
    </xf>
    <xf numFmtId="164" fontId="4" fillId="3" borderId="3" xfId="0" applyNumberFormat="1" applyFont="1" applyFill="1" applyBorder="1" applyAlignment="1">
      <alignment horizontal="center" vertical="center"/>
    </xf>
    <xf numFmtId="164" fontId="4" fillId="3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0" xfId="0" applyNumberFormat="1" applyFont="1" applyFill="1" applyAlignment="1">
      <alignment horizontal="center" vertical="center" wrapText="1"/>
    </xf>
    <xf numFmtId="164" fontId="4" fillId="3" borderId="8" xfId="0" applyNumberFormat="1" applyFont="1" applyFill="1" applyBorder="1" applyAlignment="1">
      <alignment horizontal="center" vertical="center" wrapText="1"/>
    </xf>
    <xf numFmtId="164" fontId="4" fillId="3" borderId="9" xfId="0" applyNumberFormat="1" applyFont="1" applyFill="1" applyBorder="1" applyAlignment="1">
      <alignment horizontal="center" vertical="center" wrapText="1"/>
    </xf>
    <xf numFmtId="164" fontId="4" fillId="3" borderId="10" xfId="0" applyNumberFormat="1" applyFont="1" applyFill="1" applyBorder="1" applyAlignment="1">
      <alignment horizontal="center" vertical="center" wrapText="1"/>
    </xf>
    <xf numFmtId="167" fontId="4" fillId="0" borderId="3" xfId="4" applyNumberFormat="1" applyFont="1" applyFill="1" applyBorder="1" applyAlignment="1">
      <alignment horizontal="distributed" vertical="distributed"/>
    </xf>
    <xf numFmtId="167" fontId="4" fillId="0" borderId="7" xfId="4" applyNumberFormat="1" applyFont="1" applyFill="1" applyBorder="1" applyAlignment="1">
      <alignment horizontal="distributed" vertical="distributed"/>
    </xf>
    <xf numFmtId="167" fontId="4" fillId="0" borderId="4" xfId="4" applyNumberFormat="1" applyFont="1" applyFill="1" applyBorder="1" applyAlignment="1">
      <alignment horizontal="distributed" vertical="distributed"/>
    </xf>
    <xf numFmtId="10" fontId="0" fillId="4" borderId="3" xfId="3" applyNumberFormat="1" applyFont="1" applyFill="1" applyBorder="1" applyAlignment="1">
      <alignment horizontal="center"/>
    </xf>
    <xf numFmtId="10" fontId="0" fillId="4" borderId="7" xfId="3" applyNumberFormat="1" applyFont="1" applyFill="1" applyBorder="1" applyAlignment="1">
      <alignment horizontal="center"/>
    </xf>
    <xf numFmtId="10" fontId="0" fillId="4" borderId="4" xfId="3" applyNumberFormat="1" applyFont="1" applyFill="1" applyBorder="1" applyAlignment="1">
      <alignment horizontal="center"/>
    </xf>
    <xf numFmtId="167" fontId="4" fillId="3" borderId="3" xfId="4" applyNumberFormat="1" applyFont="1" applyFill="1" applyBorder="1" applyAlignment="1">
      <alignment horizontal="left"/>
    </xf>
    <xf numFmtId="167" fontId="4" fillId="3" borderId="7" xfId="4" applyNumberFormat="1" applyFont="1" applyFill="1" applyBorder="1" applyAlignment="1">
      <alignment horizontal="left"/>
    </xf>
    <xf numFmtId="167" fontId="4" fillId="3" borderId="4" xfId="4" applyNumberFormat="1" applyFont="1" applyFill="1" applyBorder="1" applyAlignment="1">
      <alignment horizontal="left"/>
    </xf>
    <xf numFmtId="164" fontId="7" fillId="0" borderId="3" xfId="0" applyNumberFormat="1" applyFont="1" applyBorder="1" applyAlignment="1">
      <alignment horizontal="center" vertical="center" wrapText="1"/>
    </xf>
    <xf numFmtId="164" fontId="7" fillId="0" borderId="4" xfId="0" applyNumberFormat="1" applyFont="1" applyBorder="1" applyAlignment="1">
      <alignment horizontal="center" vertical="center" wrapText="1"/>
    </xf>
    <xf numFmtId="166" fontId="7" fillId="0" borderId="3" xfId="4" applyNumberFormat="1" applyFont="1" applyFill="1" applyBorder="1" applyAlignment="1">
      <alignment horizontal="center" vertical="center" wrapText="1"/>
    </xf>
    <xf numFmtId="166" fontId="7" fillId="0" borderId="4" xfId="4" applyNumberFormat="1" applyFont="1" applyFill="1" applyBorder="1" applyAlignment="1">
      <alignment horizontal="center" vertical="center" wrapText="1"/>
    </xf>
    <xf numFmtId="166" fontId="4" fillId="0" borderId="3" xfId="4" applyNumberFormat="1" applyFont="1" applyFill="1" applyBorder="1" applyAlignment="1">
      <alignment horizontal="center"/>
    </xf>
    <xf numFmtId="166" fontId="4" fillId="0" borderId="4" xfId="4" applyNumberFormat="1" applyFont="1" applyFill="1" applyBorder="1" applyAlignment="1">
      <alignment horizontal="center"/>
    </xf>
    <xf numFmtId="166" fontId="4" fillId="0" borderId="3" xfId="4" applyNumberFormat="1" applyFont="1" applyFill="1" applyBorder="1" applyAlignment="1">
      <alignment horizontal="center" vertical="center" wrapText="1"/>
    </xf>
    <xf numFmtId="166" fontId="4" fillId="0" borderId="4" xfId="4" applyNumberFormat="1" applyFont="1" applyFill="1" applyBorder="1" applyAlignment="1">
      <alignment horizontal="center" vertical="center" wrapText="1"/>
    </xf>
    <xf numFmtId="166" fontId="4" fillId="0" borderId="3" xfId="4" applyNumberFormat="1" applyFont="1" applyFill="1" applyBorder="1" applyAlignment="1">
      <alignment horizontal="center" vertical="center"/>
    </xf>
    <xf numFmtId="166" fontId="4" fillId="0" borderId="4" xfId="4" applyNumberFormat="1" applyFont="1" applyFill="1" applyBorder="1" applyAlignment="1">
      <alignment horizontal="center" vertical="center"/>
    </xf>
    <xf numFmtId="164" fontId="4" fillId="3" borderId="5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4" xfId="0" applyNumberFormat="1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164" fontId="0" fillId="0" borderId="3" xfId="0" applyNumberFormat="1" applyBorder="1" applyAlignment="1">
      <alignment horizontal="left" vertical="center" wrapText="1"/>
    </xf>
    <xf numFmtId="164" fontId="0" fillId="0" borderId="4" xfId="0" applyNumberFormat="1" applyBorder="1" applyAlignment="1">
      <alignment horizontal="left" vertical="center" wrapText="1"/>
    </xf>
    <xf numFmtId="0" fontId="4" fillId="0" borderId="3" xfId="0" applyFont="1" applyBorder="1"/>
    <xf numFmtId="0" fontId="4" fillId="0" borderId="4" xfId="0" applyFont="1" applyBorder="1"/>
    <xf numFmtId="42" fontId="4" fillId="0" borderId="3" xfId="0" applyNumberFormat="1" applyFont="1" applyBorder="1"/>
    <xf numFmtId="0" fontId="4" fillId="0" borderId="7" xfId="0" applyFont="1" applyBorder="1"/>
    <xf numFmtId="0" fontId="9" fillId="3" borderId="3" xfId="0" applyFont="1" applyFill="1" applyBorder="1" applyAlignment="1">
      <alignment horizontal="center" wrapText="1"/>
    </xf>
    <xf numFmtId="0" fontId="9" fillId="3" borderId="7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7" fillId="0" borderId="0" xfId="0" applyFont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</cellXfs>
  <cellStyles count="6">
    <cellStyle name="Millares" xfId="5" builtinId="3"/>
    <cellStyle name="Millares [0]" xfId="1" builtinId="6"/>
    <cellStyle name="Moneda [0]" xfId="2" builtinId="7"/>
    <cellStyle name="Moneda 2" xfId="4" xr:uid="{00000000-0005-0000-0000-000003000000}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C5CF9-4AE4-47DA-BD1D-022D3E289BB7}">
  <dimension ref="A1:U66"/>
  <sheetViews>
    <sheetView topLeftCell="A33" zoomScale="90" zoomScaleNormal="90" workbookViewId="0">
      <pane xSplit="1" ySplit="3" topLeftCell="I41" activePane="bottomRight" state="frozen"/>
      <selection activeCell="A33" sqref="A33"/>
      <selection pane="topRight" activeCell="B33" sqref="B33"/>
      <selection pane="bottomLeft" activeCell="A36" sqref="A36"/>
      <selection pane="bottomRight" activeCell="N43" sqref="N43"/>
    </sheetView>
  </sheetViews>
  <sheetFormatPr baseColWidth="10" defaultColWidth="11.42578125" defaultRowHeight="15" x14ac:dyDescent="0.25"/>
  <cols>
    <col min="1" max="1" width="39.42578125" bestFit="1" customWidth="1"/>
    <col min="2" max="2" width="12.85546875" bestFit="1" customWidth="1"/>
    <col min="3" max="3" width="15.140625" bestFit="1" customWidth="1"/>
    <col min="4" max="5" width="15.140625" customWidth="1"/>
    <col min="6" max="6" width="13" bestFit="1" customWidth="1"/>
    <col min="7" max="7" width="15.140625" bestFit="1" customWidth="1"/>
    <col min="8" max="8" width="13" bestFit="1" customWidth="1"/>
    <col min="9" max="9" width="15.140625" bestFit="1" customWidth="1"/>
    <col min="10" max="10" width="13" bestFit="1" customWidth="1"/>
    <col min="11" max="11" width="13.85546875" customWidth="1"/>
    <col min="12" max="12" width="13" bestFit="1" customWidth="1"/>
    <col min="13" max="13" width="15.140625" bestFit="1" customWidth="1"/>
    <col min="14" max="14" width="15.42578125" bestFit="1" customWidth="1"/>
    <col min="15" max="15" width="15.140625" bestFit="1" customWidth="1"/>
    <col min="16" max="16" width="13" bestFit="1" customWidth="1"/>
    <col min="17" max="17" width="15.140625" bestFit="1" customWidth="1"/>
    <col min="18" max="18" width="15.42578125" bestFit="1" customWidth="1"/>
    <col min="19" max="19" width="17.42578125" customWidth="1"/>
  </cols>
  <sheetData>
    <row r="1" spans="1:19" ht="15" hidden="1" customHeight="1" x14ac:dyDescent="0.25">
      <c r="A1" s="88" t="s">
        <v>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</row>
    <row r="2" spans="1:19" ht="52.5" hidden="1" customHeight="1" x14ac:dyDescent="0.25">
      <c r="A2" s="1"/>
      <c r="B2" s="114" t="s">
        <v>1</v>
      </c>
      <c r="C2" s="115"/>
      <c r="D2" s="41"/>
      <c r="E2" s="41"/>
      <c r="F2" s="114" t="s">
        <v>2</v>
      </c>
      <c r="G2" s="115"/>
      <c r="H2" s="114" t="s">
        <v>3</v>
      </c>
      <c r="I2" s="115"/>
      <c r="J2" s="114" t="s">
        <v>4</v>
      </c>
      <c r="K2" s="115"/>
      <c r="L2" s="114" t="s">
        <v>5</v>
      </c>
      <c r="M2" s="115"/>
      <c r="N2" s="114" t="s">
        <v>6</v>
      </c>
      <c r="O2" s="115"/>
      <c r="P2" s="114" t="s">
        <v>7</v>
      </c>
      <c r="Q2" s="115"/>
      <c r="R2" s="114" t="s">
        <v>8</v>
      </c>
      <c r="S2" s="115"/>
    </row>
    <row r="3" spans="1:19" ht="15" hidden="1" customHeight="1" x14ac:dyDescent="0.25">
      <c r="A3" s="112" t="s">
        <v>9</v>
      </c>
      <c r="B3" s="114" t="s">
        <v>10</v>
      </c>
      <c r="C3" s="115"/>
      <c r="D3" s="41"/>
      <c r="E3" s="41"/>
      <c r="F3" s="114" t="s">
        <v>10</v>
      </c>
      <c r="G3" s="115"/>
      <c r="H3" s="114" t="s">
        <v>10</v>
      </c>
      <c r="I3" s="115"/>
      <c r="J3" s="114" t="s">
        <v>10</v>
      </c>
      <c r="K3" s="115"/>
      <c r="L3" s="114" t="s">
        <v>10</v>
      </c>
      <c r="M3" s="115"/>
      <c r="N3" s="114" t="s">
        <v>10</v>
      </c>
      <c r="O3" s="115"/>
      <c r="P3" s="114" t="s">
        <v>11</v>
      </c>
      <c r="Q3" s="115"/>
      <c r="R3" s="114" t="s">
        <v>10</v>
      </c>
      <c r="S3" s="115"/>
    </row>
    <row r="4" spans="1:19" hidden="1" x14ac:dyDescent="0.25">
      <c r="A4" s="113"/>
      <c r="B4" s="2" t="s">
        <v>12</v>
      </c>
      <c r="C4" s="2" t="s">
        <v>13</v>
      </c>
      <c r="D4" s="2"/>
      <c r="E4" s="2"/>
      <c r="F4" s="2" t="s">
        <v>12</v>
      </c>
      <c r="G4" s="2" t="s">
        <v>13</v>
      </c>
      <c r="H4" s="2" t="s">
        <v>12</v>
      </c>
      <c r="I4" s="2" t="s">
        <v>13</v>
      </c>
      <c r="J4" s="2" t="s">
        <v>12</v>
      </c>
      <c r="K4" s="2" t="s">
        <v>13</v>
      </c>
      <c r="L4" s="2" t="s">
        <v>12</v>
      </c>
      <c r="M4" s="2" t="s">
        <v>13</v>
      </c>
      <c r="N4" s="2" t="s">
        <v>12</v>
      </c>
      <c r="O4" s="2" t="s">
        <v>13</v>
      </c>
      <c r="P4" s="2" t="s">
        <v>12</v>
      </c>
      <c r="Q4" s="2" t="s">
        <v>13</v>
      </c>
      <c r="R4" s="2" t="s">
        <v>12</v>
      </c>
      <c r="S4" s="2" t="s">
        <v>13</v>
      </c>
    </row>
    <row r="5" spans="1:19" hidden="1" x14ac:dyDescent="0.25">
      <c r="A5" s="3" t="s">
        <v>14</v>
      </c>
      <c r="B5" s="4"/>
      <c r="C5" s="5">
        <f>V34</f>
        <v>0</v>
      </c>
      <c r="D5" s="5"/>
      <c r="E5" s="5"/>
      <c r="F5" s="4"/>
      <c r="G5" s="5">
        <f>C5+80000</f>
        <v>80000</v>
      </c>
      <c r="H5" s="4"/>
      <c r="I5" s="5">
        <f>917833*1.06</f>
        <v>972902.9800000001</v>
      </c>
      <c r="J5" s="4"/>
      <c r="K5" s="5">
        <f>1020950*1.06</f>
        <v>1082207</v>
      </c>
      <c r="L5" s="4"/>
      <c r="M5" s="5">
        <f>1077077*1.06</f>
        <v>1141701.6200000001</v>
      </c>
      <c r="N5" s="4"/>
      <c r="O5" s="5">
        <f>1074220*1.06</f>
        <v>1138673.2</v>
      </c>
      <c r="P5" s="4"/>
      <c r="Q5" s="5">
        <f>414058*1.06</f>
        <v>438901.48000000004</v>
      </c>
      <c r="R5" s="4"/>
      <c r="S5" s="5">
        <f>1438080*1.06</f>
        <v>1524364.8</v>
      </c>
    </row>
    <row r="6" spans="1:19" hidden="1" x14ac:dyDescent="0.25">
      <c r="A6" s="3" t="s">
        <v>15</v>
      </c>
      <c r="B6" s="4"/>
      <c r="C6" s="5">
        <f>W34</f>
        <v>0</v>
      </c>
      <c r="D6" s="5"/>
      <c r="E6" s="5"/>
      <c r="F6" s="4"/>
      <c r="G6" s="5">
        <f>W34</f>
        <v>0</v>
      </c>
      <c r="H6" s="4"/>
      <c r="I6" s="5">
        <f>W34</f>
        <v>0</v>
      </c>
      <c r="J6" s="4"/>
      <c r="K6" s="5">
        <f>W34</f>
        <v>0</v>
      </c>
      <c r="L6" s="4"/>
      <c r="M6" s="5">
        <f>W34</f>
        <v>0</v>
      </c>
      <c r="N6" s="4"/>
      <c r="O6" s="5">
        <f>W34</f>
        <v>0</v>
      </c>
      <c r="P6" s="4"/>
      <c r="Q6" s="5">
        <f>W34</f>
        <v>0</v>
      </c>
      <c r="R6" s="4"/>
      <c r="S6" s="5">
        <f>W34</f>
        <v>0</v>
      </c>
    </row>
    <row r="7" spans="1:19" hidden="1" x14ac:dyDescent="0.25">
      <c r="A7" s="6" t="s">
        <v>16</v>
      </c>
      <c r="B7" s="106">
        <f>+C5+C6</f>
        <v>0</v>
      </c>
      <c r="C7" s="107"/>
      <c r="D7" s="42"/>
      <c r="E7" s="42"/>
      <c r="F7" s="106">
        <f>+G5+G6</f>
        <v>80000</v>
      </c>
      <c r="G7" s="107"/>
      <c r="H7" s="106">
        <f>+I5+I6</f>
        <v>972902.9800000001</v>
      </c>
      <c r="I7" s="107"/>
      <c r="J7" s="106">
        <f>+K5+K6</f>
        <v>1082207</v>
      </c>
      <c r="K7" s="107"/>
      <c r="L7" s="106">
        <f>+M5+M6</f>
        <v>1141701.6200000001</v>
      </c>
      <c r="M7" s="107"/>
      <c r="N7" s="106">
        <f>+O5+O6</f>
        <v>1138673.2</v>
      </c>
      <c r="O7" s="107"/>
      <c r="P7" s="106">
        <f>+Q5+Q6</f>
        <v>438901.48000000004</v>
      </c>
      <c r="Q7" s="107"/>
      <c r="R7" s="106">
        <f>+S5+S6</f>
        <v>1524364.8</v>
      </c>
      <c r="S7" s="107"/>
    </row>
    <row r="8" spans="1:19" hidden="1" x14ac:dyDescent="0.25">
      <c r="A8" s="3" t="s">
        <v>17</v>
      </c>
      <c r="B8" s="7">
        <v>8.3299999999999999E-2</v>
      </c>
      <c r="C8" s="5">
        <f>+B8*$B$7</f>
        <v>0</v>
      </c>
      <c r="D8" s="5"/>
      <c r="E8" s="5"/>
      <c r="F8" s="7">
        <v>8.3299999999999999E-2</v>
      </c>
      <c r="G8" s="5">
        <f>+F8*$F$7</f>
        <v>6664</v>
      </c>
      <c r="H8" s="7">
        <v>8.3299999999999999E-2</v>
      </c>
      <c r="I8" s="5">
        <f>+H8*$H$7</f>
        <v>81042.818234000006</v>
      </c>
      <c r="J8" s="7">
        <v>8.3299999999999999E-2</v>
      </c>
      <c r="K8" s="5">
        <f>+J8*$J$7</f>
        <v>90147.843099999998</v>
      </c>
      <c r="L8" s="7">
        <v>8.3299999999999999E-2</v>
      </c>
      <c r="M8" s="5">
        <f>+L8*$L$7</f>
        <v>95103.744946000006</v>
      </c>
      <c r="N8" s="7">
        <v>8.3299999999999999E-2</v>
      </c>
      <c r="O8" s="5">
        <f>+N8*$N$7</f>
        <v>94851.477559999999</v>
      </c>
      <c r="P8" s="7">
        <v>8.3299999999999999E-2</v>
      </c>
      <c r="Q8" s="5">
        <f>+P8*$P$7</f>
        <v>36560.493284000004</v>
      </c>
      <c r="R8" s="7">
        <v>8.3299999999999999E-2</v>
      </c>
      <c r="S8" s="5">
        <f>+R8*$R$7</f>
        <v>126979.58784000001</v>
      </c>
    </row>
    <row r="9" spans="1:19" hidden="1" x14ac:dyDescent="0.25">
      <c r="A9" s="3" t="s">
        <v>18</v>
      </c>
      <c r="B9" s="7">
        <v>8.3299999999999999E-2</v>
      </c>
      <c r="C9" s="5">
        <f>+B9*$B$7</f>
        <v>0</v>
      </c>
      <c r="D9" s="5"/>
      <c r="E9" s="5"/>
      <c r="F9" s="7">
        <v>8.3299999999999999E-2</v>
      </c>
      <c r="G9" s="5">
        <f>+F9*$F$7</f>
        <v>6664</v>
      </c>
      <c r="H9" s="7">
        <v>8.3299999999999999E-2</v>
      </c>
      <c r="I9" s="5">
        <f>+H9*$H$7</f>
        <v>81042.818234000006</v>
      </c>
      <c r="J9" s="7">
        <v>8.3299999999999999E-2</v>
      </c>
      <c r="K9" s="5">
        <f>+J9*$J$7</f>
        <v>90147.843099999998</v>
      </c>
      <c r="L9" s="7">
        <v>8.3299999999999999E-2</v>
      </c>
      <c r="M9" s="5">
        <f>+L9*$L$7</f>
        <v>95103.744946000006</v>
      </c>
      <c r="N9" s="7">
        <v>8.3299999999999999E-2</v>
      </c>
      <c r="O9" s="5">
        <f>+N9*$N$7</f>
        <v>94851.477559999999</v>
      </c>
      <c r="P9" s="7">
        <v>8.3299999999999999E-2</v>
      </c>
      <c r="Q9" s="5">
        <f>+P9*$P$7</f>
        <v>36560.493284000004</v>
      </c>
      <c r="R9" s="7">
        <v>8.3299999999999999E-2</v>
      </c>
      <c r="S9" s="5">
        <f>+R9*$R$7</f>
        <v>126979.58784000001</v>
      </c>
    </row>
    <row r="10" spans="1:19" hidden="1" x14ac:dyDescent="0.25">
      <c r="A10" s="3" t="s">
        <v>19</v>
      </c>
      <c r="B10" s="7">
        <v>0.01</v>
      </c>
      <c r="C10" s="5">
        <f>+B10*$B$7</f>
        <v>0</v>
      </c>
      <c r="D10" s="5"/>
      <c r="E10" s="5"/>
      <c r="F10" s="7">
        <v>0.01</v>
      </c>
      <c r="G10" s="5">
        <f>+F10*$F$7</f>
        <v>800</v>
      </c>
      <c r="H10" s="7">
        <v>0.01</v>
      </c>
      <c r="I10" s="5">
        <f>+H10*$H$7</f>
        <v>9729.0298000000021</v>
      </c>
      <c r="J10" s="7">
        <v>0.01</v>
      </c>
      <c r="K10" s="5">
        <f>+J10*$J$7</f>
        <v>10822.07</v>
      </c>
      <c r="L10" s="7">
        <v>0.01</v>
      </c>
      <c r="M10" s="5">
        <f>+L10*$L$7</f>
        <v>11417.016200000002</v>
      </c>
      <c r="N10" s="7">
        <v>0.01</v>
      </c>
      <c r="O10" s="5">
        <f>+N10*$N$7</f>
        <v>11386.732</v>
      </c>
      <c r="P10" s="7">
        <v>0.01</v>
      </c>
      <c r="Q10" s="5">
        <f>+P10*$P$7</f>
        <v>4389.0148000000008</v>
      </c>
      <c r="R10" s="7">
        <v>0.01</v>
      </c>
      <c r="S10" s="5">
        <f>+R10*$R$7</f>
        <v>15243.648000000001</v>
      </c>
    </row>
    <row r="11" spans="1:19" hidden="1" x14ac:dyDescent="0.25">
      <c r="A11" s="3" t="s">
        <v>20</v>
      </c>
      <c r="B11" s="7">
        <v>4.1700000000000001E-2</v>
      </c>
      <c r="C11" s="5">
        <f>+B11*C5</f>
        <v>0</v>
      </c>
      <c r="D11" s="5"/>
      <c r="E11" s="5"/>
      <c r="F11" s="7">
        <v>4.1700000000000001E-2</v>
      </c>
      <c r="G11" s="5">
        <f>+F11*G5</f>
        <v>3336</v>
      </c>
      <c r="H11" s="7">
        <v>4.1700000000000001E-2</v>
      </c>
      <c r="I11" s="5">
        <f>+H11*I5</f>
        <v>40570.054266000006</v>
      </c>
      <c r="J11" s="7">
        <v>4.1700000000000001E-2</v>
      </c>
      <c r="K11" s="5">
        <f>+J11*K5</f>
        <v>45128.031900000002</v>
      </c>
      <c r="L11" s="7">
        <v>4.1700000000000001E-2</v>
      </c>
      <c r="M11" s="5">
        <f>+L11*M5</f>
        <v>47608.957554000008</v>
      </c>
      <c r="N11" s="7">
        <v>4.1700000000000001E-2</v>
      </c>
      <c r="O11" s="5">
        <f>+N11*O5</f>
        <v>47482.672440000002</v>
      </c>
      <c r="P11" s="7">
        <v>4.1700000000000001E-2</v>
      </c>
      <c r="Q11" s="5">
        <f>+P11*Q5</f>
        <v>18302.191716000001</v>
      </c>
      <c r="R11" s="7">
        <v>4.1700000000000001E-2</v>
      </c>
      <c r="S11" s="5">
        <f>+R11*S5</f>
        <v>63566.012160000006</v>
      </c>
    </row>
    <row r="12" spans="1:19" hidden="1" x14ac:dyDescent="0.25">
      <c r="A12" s="6" t="s">
        <v>21</v>
      </c>
      <c r="B12" s="106">
        <f>SUM(C8:C11)</f>
        <v>0</v>
      </c>
      <c r="C12" s="107"/>
      <c r="D12" s="42"/>
      <c r="E12" s="42"/>
      <c r="F12" s="106">
        <f>+SUM(G8:G11)</f>
        <v>17464</v>
      </c>
      <c r="G12" s="107"/>
      <c r="H12" s="106">
        <f>+SUM(I8:I11)</f>
        <v>212384.72053400002</v>
      </c>
      <c r="I12" s="107"/>
      <c r="J12" s="106">
        <f>+SUM(K8:K11)</f>
        <v>236245.78810000001</v>
      </c>
      <c r="K12" s="107"/>
      <c r="L12" s="106">
        <f>+SUM(M8:M11)</f>
        <v>249233.46364600002</v>
      </c>
      <c r="M12" s="107"/>
      <c r="N12" s="106">
        <f>+SUM(O8:O11)</f>
        <v>248572.35955999998</v>
      </c>
      <c r="O12" s="107"/>
      <c r="P12" s="106">
        <f>SUM(Q8:Q11)</f>
        <v>95812.193084000013</v>
      </c>
      <c r="Q12" s="107"/>
      <c r="R12" s="106">
        <f>SUM(S8:S11)</f>
        <v>332768.83584000001</v>
      </c>
      <c r="S12" s="107"/>
    </row>
    <row r="13" spans="1:19" hidden="1" x14ac:dyDescent="0.25">
      <c r="A13" s="3" t="s">
        <v>22</v>
      </c>
      <c r="B13" s="7">
        <v>8.5000000000000006E-2</v>
      </c>
      <c r="C13" s="5">
        <f t="shared" ref="C13:C18" si="0">+B13*$C$5</f>
        <v>0</v>
      </c>
      <c r="D13" s="5"/>
      <c r="E13" s="5"/>
      <c r="F13" s="7">
        <v>8.5000000000000006E-2</v>
      </c>
      <c r="G13" s="5">
        <f t="shared" ref="G13:G18" si="1">+F13*$G$5</f>
        <v>6800.0000000000009</v>
      </c>
      <c r="H13" s="7">
        <v>8.5000000000000006E-2</v>
      </c>
      <c r="I13" s="5">
        <f t="shared" ref="I13:I18" si="2">+H13*$I$5</f>
        <v>82696.753300000011</v>
      </c>
      <c r="J13" s="7">
        <v>8.5000000000000006E-2</v>
      </c>
      <c r="K13" s="5">
        <f t="shared" ref="K13:K18" si="3">+J13*$K$5</f>
        <v>91987.595000000001</v>
      </c>
      <c r="L13" s="7">
        <v>8.5000000000000006E-2</v>
      </c>
      <c r="M13" s="5">
        <f t="shared" ref="M13:M18" si="4">+L13*$M$5</f>
        <v>97044.637700000021</v>
      </c>
      <c r="N13" s="7">
        <v>8.5000000000000006E-2</v>
      </c>
      <c r="O13" s="5">
        <f t="shared" ref="O13:O18" si="5">+N13*$O$5</f>
        <v>96787.222000000009</v>
      </c>
      <c r="P13" s="7">
        <v>8.5000000000000006E-2</v>
      </c>
      <c r="Q13" s="5">
        <f t="shared" ref="Q13:Q18" si="6">+P13*$Q$5</f>
        <v>37306.625800000009</v>
      </c>
      <c r="R13" s="7">
        <v>8.5000000000000006E-2</v>
      </c>
      <c r="S13" s="5">
        <f t="shared" ref="S13:S18" si="7">+R13*$S$5</f>
        <v>129571.00800000002</v>
      </c>
    </row>
    <row r="14" spans="1:19" hidden="1" x14ac:dyDescent="0.25">
      <c r="A14" s="3" t="s">
        <v>23</v>
      </c>
      <c r="B14" s="7">
        <v>0.12</v>
      </c>
      <c r="C14" s="5">
        <f t="shared" si="0"/>
        <v>0</v>
      </c>
      <c r="D14" s="5"/>
      <c r="E14" s="5"/>
      <c r="F14" s="7">
        <v>0.12</v>
      </c>
      <c r="G14" s="5">
        <f t="shared" si="1"/>
        <v>9600</v>
      </c>
      <c r="H14" s="7">
        <v>0.12</v>
      </c>
      <c r="I14" s="5">
        <f t="shared" si="2"/>
        <v>116748.3576</v>
      </c>
      <c r="J14" s="7">
        <v>0.12</v>
      </c>
      <c r="K14" s="5">
        <f t="shared" si="3"/>
        <v>129864.84</v>
      </c>
      <c r="L14" s="7">
        <v>0.12</v>
      </c>
      <c r="M14" s="5">
        <f t="shared" si="4"/>
        <v>137004.19440000001</v>
      </c>
      <c r="N14" s="7">
        <v>0.12</v>
      </c>
      <c r="O14" s="5">
        <f t="shared" si="5"/>
        <v>136640.78399999999</v>
      </c>
      <c r="P14" s="7">
        <v>0.12</v>
      </c>
      <c r="Q14" s="5">
        <f t="shared" si="6"/>
        <v>52668.177600000003</v>
      </c>
      <c r="R14" s="7">
        <v>0.12</v>
      </c>
      <c r="S14" s="5">
        <f t="shared" si="7"/>
        <v>182923.77600000001</v>
      </c>
    </row>
    <row r="15" spans="1:19" hidden="1" x14ac:dyDescent="0.25">
      <c r="A15" s="3" t="s">
        <v>24</v>
      </c>
      <c r="B15" s="7">
        <v>1.044E-2</v>
      </c>
      <c r="C15" s="5">
        <f t="shared" si="0"/>
        <v>0</v>
      </c>
      <c r="D15" s="5"/>
      <c r="E15" s="5"/>
      <c r="F15" s="7">
        <v>6.9599999999999995E-2</v>
      </c>
      <c r="G15" s="5">
        <f t="shared" si="1"/>
        <v>5568</v>
      </c>
      <c r="H15" s="7">
        <v>1.044E-2</v>
      </c>
      <c r="I15" s="5">
        <f t="shared" si="2"/>
        <v>10157.107111200001</v>
      </c>
      <c r="J15" s="7">
        <v>6.9599999999999995E-2</v>
      </c>
      <c r="K15" s="5">
        <f t="shared" si="3"/>
        <v>75321.607199999999</v>
      </c>
      <c r="L15" s="7">
        <v>6.9599999999999995E-2</v>
      </c>
      <c r="M15" s="5">
        <f t="shared" si="4"/>
        <v>79462.432752000008</v>
      </c>
      <c r="N15" s="7">
        <v>1.044E-2</v>
      </c>
      <c r="O15" s="5">
        <f t="shared" si="5"/>
        <v>11887.748207999999</v>
      </c>
      <c r="P15" s="7">
        <v>1.044E-2</v>
      </c>
      <c r="Q15" s="5">
        <f t="shared" si="6"/>
        <v>4582.1314511999999</v>
      </c>
      <c r="R15" s="7">
        <v>6.9599999999999995E-2</v>
      </c>
      <c r="S15" s="5">
        <f t="shared" si="7"/>
        <v>106095.79007999999</v>
      </c>
    </row>
    <row r="16" spans="1:19" hidden="1" x14ac:dyDescent="0.25">
      <c r="A16" s="3" t="s">
        <v>25</v>
      </c>
      <c r="B16" s="7">
        <v>0.04</v>
      </c>
      <c r="C16" s="5">
        <f t="shared" si="0"/>
        <v>0</v>
      </c>
      <c r="D16" s="5"/>
      <c r="E16" s="5"/>
      <c r="F16" s="7">
        <v>0.04</v>
      </c>
      <c r="G16" s="5">
        <f t="shared" si="1"/>
        <v>3200</v>
      </c>
      <c r="H16" s="7">
        <v>0.04</v>
      </c>
      <c r="I16" s="5">
        <f t="shared" si="2"/>
        <v>38916.119200000008</v>
      </c>
      <c r="J16" s="7">
        <v>0.04</v>
      </c>
      <c r="K16" s="5">
        <f t="shared" si="3"/>
        <v>43288.28</v>
      </c>
      <c r="L16" s="7">
        <v>0.04</v>
      </c>
      <c r="M16" s="5">
        <f t="shared" si="4"/>
        <v>45668.064800000007</v>
      </c>
      <c r="N16" s="7">
        <v>0.04</v>
      </c>
      <c r="O16" s="5">
        <f t="shared" si="5"/>
        <v>45546.928</v>
      </c>
      <c r="P16" s="7">
        <v>0.04</v>
      </c>
      <c r="Q16" s="5">
        <f t="shared" si="6"/>
        <v>17556.059200000003</v>
      </c>
      <c r="R16" s="7">
        <v>0.04</v>
      </c>
      <c r="S16" s="5">
        <f t="shared" si="7"/>
        <v>60974.592000000004</v>
      </c>
    </row>
    <row r="17" spans="1:21" hidden="1" x14ac:dyDescent="0.25">
      <c r="A17" s="3" t="s">
        <v>26</v>
      </c>
      <c r="B17" s="7">
        <v>0.03</v>
      </c>
      <c r="C17" s="5">
        <f>+B17*$C$5</f>
        <v>0</v>
      </c>
      <c r="D17" s="5"/>
      <c r="E17" s="5"/>
      <c r="F17" s="7">
        <v>0.03</v>
      </c>
      <c r="G17" s="5">
        <f>+F17*$G$5</f>
        <v>2400</v>
      </c>
      <c r="H17" s="7">
        <v>0.03</v>
      </c>
      <c r="I17" s="5">
        <f>+H17*$I$5</f>
        <v>29187.089400000001</v>
      </c>
      <c r="J17" s="7">
        <v>0.03</v>
      </c>
      <c r="K17" s="5">
        <f t="shared" si="3"/>
        <v>32466.21</v>
      </c>
      <c r="L17" s="7">
        <v>0.03</v>
      </c>
      <c r="M17" s="5">
        <f>+L17*$M$5</f>
        <v>34251.048600000002</v>
      </c>
      <c r="N17" s="7">
        <v>0.03</v>
      </c>
      <c r="O17" s="5">
        <f t="shared" si="5"/>
        <v>34160.195999999996</v>
      </c>
      <c r="P17" s="7">
        <v>0.03</v>
      </c>
      <c r="Q17" s="5">
        <f t="shared" si="6"/>
        <v>13167.044400000001</v>
      </c>
      <c r="R17" s="7">
        <v>0.03</v>
      </c>
      <c r="S17" s="5">
        <f t="shared" si="7"/>
        <v>45730.944000000003</v>
      </c>
    </row>
    <row r="18" spans="1:21" hidden="1" x14ac:dyDescent="0.25">
      <c r="A18" s="3" t="s">
        <v>27</v>
      </c>
      <c r="B18" s="7">
        <v>0.02</v>
      </c>
      <c r="C18" s="5">
        <f t="shared" si="0"/>
        <v>0</v>
      </c>
      <c r="D18" s="5"/>
      <c r="E18" s="5"/>
      <c r="F18" s="7">
        <v>0.02</v>
      </c>
      <c r="G18" s="5">
        <f t="shared" si="1"/>
        <v>1600</v>
      </c>
      <c r="H18" s="7">
        <v>0.02</v>
      </c>
      <c r="I18" s="5">
        <f t="shared" si="2"/>
        <v>19458.059600000004</v>
      </c>
      <c r="J18" s="7">
        <v>0.02</v>
      </c>
      <c r="K18" s="5">
        <f t="shared" si="3"/>
        <v>21644.14</v>
      </c>
      <c r="L18" s="7">
        <v>0.02</v>
      </c>
      <c r="M18" s="5">
        <f t="shared" si="4"/>
        <v>22834.032400000004</v>
      </c>
      <c r="N18" s="7">
        <v>0.02</v>
      </c>
      <c r="O18" s="5">
        <f t="shared" si="5"/>
        <v>22773.464</v>
      </c>
      <c r="P18" s="7">
        <v>0.02</v>
      </c>
      <c r="Q18" s="5">
        <f t="shared" si="6"/>
        <v>8778.0296000000017</v>
      </c>
      <c r="R18" s="7">
        <v>0.02</v>
      </c>
      <c r="S18" s="5">
        <f t="shared" si="7"/>
        <v>30487.296000000002</v>
      </c>
    </row>
    <row r="19" spans="1:21" hidden="1" x14ac:dyDescent="0.25">
      <c r="A19" s="6" t="s">
        <v>21</v>
      </c>
      <c r="B19" s="110">
        <f>SUM(C13:C18)</f>
        <v>0</v>
      </c>
      <c r="C19" s="111"/>
      <c r="D19" s="43"/>
      <c r="E19" s="43"/>
      <c r="F19" s="110">
        <f>+SUM(G13:G18)</f>
        <v>29168</v>
      </c>
      <c r="G19" s="111"/>
      <c r="H19" s="106">
        <f>+SUM(I13:I18)</f>
        <v>297163.48621120001</v>
      </c>
      <c r="I19" s="107"/>
      <c r="J19" s="106">
        <f>+SUM(K13:K18)</f>
        <v>394572.67220000009</v>
      </c>
      <c r="K19" s="107"/>
      <c r="L19" s="106">
        <f>+SUM(M13:M18)</f>
        <v>416264.41065200005</v>
      </c>
      <c r="M19" s="107"/>
      <c r="N19" s="106">
        <f>+SUM(O13:O18)</f>
        <v>347796.34220799996</v>
      </c>
      <c r="O19" s="107"/>
      <c r="P19" s="106">
        <f>SUM(Q13:Q18)</f>
        <v>134058.06805120001</v>
      </c>
      <c r="Q19" s="107"/>
      <c r="R19" s="106">
        <f>SUM(S13:S18)</f>
        <v>555783.40607999999</v>
      </c>
      <c r="S19" s="107"/>
    </row>
    <row r="20" spans="1:21" hidden="1" x14ac:dyDescent="0.25">
      <c r="A20" s="6" t="s">
        <v>28</v>
      </c>
      <c r="B20" s="108">
        <f>+B7+B12+B19</f>
        <v>0</v>
      </c>
      <c r="C20" s="109"/>
      <c r="D20" s="44"/>
      <c r="E20" s="44"/>
      <c r="F20" s="108">
        <f>+F7+F12+F19</f>
        <v>126632</v>
      </c>
      <c r="G20" s="109"/>
      <c r="H20" s="108">
        <f>+H7+H12+H19</f>
        <v>1482451.1867452001</v>
      </c>
      <c r="I20" s="109"/>
      <c r="J20" s="108">
        <f>+J7+J12+J19</f>
        <v>1713025.4603000002</v>
      </c>
      <c r="K20" s="109"/>
      <c r="L20" s="108">
        <f>+L7+L12+L19</f>
        <v>1807199.4942980001</v>
      </c>
      <c r="M20" s="109"/>
      <c r="N20" s="108">
        <f>+N7+N12+N19</f>
        <v>1735041.9017679999</v>
      </c>
      <c r="O20" s="109"/>
      <c r="P20" s="108">
        <f>+P7+P12+P19</f>
        <v>668771.74113520002</v>
      </c>
      <c r="Q20" s="109"/>
      <c r="R20" s="108">
        <f>+R7+R12+R19</f>
        <v>2412917.0419200002</v>
      </c>
      <c r="S20" s="109"/>
    </row>
    <row r="21" spans="1:21" hidden="1" x14ac:dyDescent="0.25">
      <c r="A21" s="6" t="s">
        <v>29</v>
      </c>
      <c r="B21" s="102">
        <v>18</v>
      </c>
      <c r="C21" s="103"/>
      <c r="D21" s="45"/>
      <c r="E21" s="45"/>
      <c r="F21" s="102">
        <v>10</v>
      </c>
      <c r="G21" s="103"/>
      <c r="H21" s="102">
        <v>1</v>
      </c>
      <c r="I21" s="103"/>
      <c r="J21" s="102">
        <v>6</v>
      </c>
      <c r="K21" s="103"/>
      <c r="L21" s="102">
        <v>4</v>
      </c>
      <c r="M21" s="103"/>
      <c r="N21" s="102">
        <v>1</v>
      </c>
      <c r="O21" s="103"/>
      <c r="P21" s="102">
        <v>1</v>
      </c>
      <c r="Q21" s="103"/>
      <c r="R21" s="102">
        <v>3</v>
      </c>
      <c r="S21" s="103"/>
    </row>
    <row r="22" spans="1:21" ht="30" hidden="1" x14ac:dyDescent="0.25">
      <c r="A22" s="6" t="s">
        <v>30</v>
      </c>
      <c r="B22" s="104">
        <f>+B20*B21</f>
        <v>0</v>
      </c>
      <c r="C22" s="105"/>
      <c r="D22" s="46"/>
      <c r="E22" s="46"/>
      <c r="F22" s="104">
        <f>+F20*F21</f>
        <v>1266320</v>
      </c>
      <c r="G22" s="105"/>
      <c r="H22" s="104">
        <f>+H20*H21</f>
        <v>1482451.1867452001</v>
      </c>
      <c r="I22" s="105"/>
      <c r="J22" s="104">
        <f>+J20*J21</f>
        <v>10278152.7618</v>
      </c>
      <c r="K22" s="105"/>
      <c r="L22" s="104">
        <f>+L20*L21</f>
        <v>7228797.9771920005</v>
      </c>
      <c r="M22" s="105"/>
      <c r="N22" s="104">
        <f>+N20*N21</f>
        <v>1735041.9017679999</v>
      </c>
      <c r="O22" s="105"/>
      <c r="P22" s="104">
        <f>+P20*P21</f>
        <v>668771.74113520002</v>
      </c>
      <c r="Q22" s="105"/>
      <c r="R22" s="104">
        <f>+R20*R21</f>
        <v>7238751.1257600002</v>
      </c>
      <c r="S22" s="105"/>
    </row>
    <row r="23" spans="1:21" hidden="1" x14ac:dyDescent="0.25">
      <c r="A23" s="6" t="s">
        <v>31</v>
      </c>
      <c r="B23" s="93">
        <f>+SUM(B22:S22)</f>
        <v>29898286.6944004</v>
      </c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5"/>
    </row>
    <row r="24" spans="1:21" hidden="1" x14ac:dyDescent="0.25">
      <c r="A24" s="6" t="s">
        <v>32</v>
      </c>
      <c r="B24" s="96">
        <v>0.11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8"/>
    </row>
    <row r="25" spans="1:21" hidden="1" x14ac:dyDescent="0.25">
      <c r="A25" s="6" t="s">
        <v>33</v>
      </c>
      <c r="B25" s="96">
        <v>5.0000000000000001E-3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8"/>
      <c r="T25" s="8"/>
      <c r="U25" s="8"/>
    </row>
    <row r="26" spans="1:21" hidden="1" x14ac:dyDescent="0.25">
      <c r="A26" s="6" t="s">
        <v>34</v>
      </c>
      <c r="B26" s="93">
        <f>+B23*(B24+B25)</f>
        <v>3438302.9698560461</v>
      </c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5"/>
    </row>
    <row r="27" spans="1:21" hidden="1" x14ac:dyDescent="0.25">
      <c r="A27" s="6" t="s">
        <v>35</v>
      </c>
      <c r="B27" s="93">
        <f>19%*B26</f>
        <v>653277.56427264877</v>
      </c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5"/>
    </row>
    <row r="28" spans="1:21" hidden="1" x14ac:dyDescent="0.25">
      <c r="A28" s="9" t="s">
        <v>36</v>
      </c>
      <c r="B28" s="99">
        <f>+B23+B26+B27</f>
        <v>33989867.228529096</v>
      </c>
      <c r="C28" s="100"/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1"/>
    </row>
    <row r="29" spans="1:21" hidden="1" x14ac:dyDescent="0.25"/>
    <row r="30" spans="1:21" hidden="1" x14ac:dyDescent="0.25">
      <c r="A30" s="86" t="s">
        <v>37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</row>
    <row r="31" spans="1:21" hidden="1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</row>
    <row r="32" spans="1:21" hidden="1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</row>
    <row r="33" spans="1:19" ht="15.75" customHeight="1" thickBot="1" x14ac:dyDescent="0.3">
      <c r="A33" s="88" t="s">
        <v>38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</row>
    <row r="34" spans="1:19" ht="42" customHeight="1" x14ac:dyDescent="0.25">
      <c r="A34" s="10"/>
      <c r="B34" s="90" t="s">
        <v>1</v>
      </c>
      <c r="C34" s="91"/>
      <c r="D34" s="90" t="s">
        <v>129</v>
      </c>
      <c r="E34" s="91"/>
      <c r="F34" s="91" t="s">
        <v>39</v>
      </c>
      <c r="G34" s="91"/>
      <c r="H34" s="91" t="s">
        <v>128</v>
      </c>
      <c r="I34" s="91"/>
      <c r="J34" s="91" t="s">
        <v>4</v>
      </c>
      <c r="K34" s="91"/>
      <c r="L34" s="91" t="s">
        <v>5</v>
      </c>
      <c r="M34" s="91"/>
      <c r="N34" s="91" t="s">
        <v>6</v>
      </c>
      <c r="O34" s="91"/>
      <c r="P34" s="91" t="s">
        <v>7</v>
      </c>
      <c r="Q34" s="91"/>
      <c r="R34" s="91" t="s">
        <v>8</v>
      </c>
      <c r="S34" s="92"/>
    </row>
    <row r="35" spans="1:19" ht="15" customHeight="1" x14ac:dyDescent="0.25">
      <c r="A35" s="84" t="s">
        <v>9</v>
      </c>
      <c r="B35" s="85" t="s">
        <v>10</v>
      </c>
      <c r="C35" s="81"/>
      <c r="D35" s="85" t="s">
        <v>10</v>
      </c>
      <c r="E35" s="81"/>
      <c r="F35" s="81" t="s">
        <v>10</v>
      </c>
      <c r="G35" s="81"/>
      <c r="H35" s="81" t="s">
        <v>10</v>
      </c>
      <c r="I35" s="81"/>
      <c r="J35" s="81" t="s">
        <v>10</v>
      </c>
      <c r="K35" s="81"/>
      <c r="L35" s="81" t="s">
        <v>10</v>
      </c>
      <c r="M35" s="81"/>
      <c r="N35" s="81" t="s">
        <v>10</v>
      </c>
      <c r="O35" s="81"/>
      <c r="P35" s="81" t="s">
        <v>11</v>
      </c>
      <c r="Q35" s="81"/>
      <c r="R35" s="81" t="s">
        <v>10</v>
      </c>
      <c r="S35" s="82"/>
    </row>
    <row r="36" spans="1:19" ht="15.75" thickBot="1" x14ac:dyDescent="0.3">
      <c r="A36" s="84"/>
      <c r="B36" s="11" t="s">
        <v>12</v>
      </c>
      <c r="C36" s="12" t="s">
        <v>13</v>
      </c>
      <c r="D36" s="11" t="s">
        <v>12</v>
      </c>
      <c r="E36" s="12" t="s">
        <v>13</v>
      </c>
      <c r="F36" s="12" t="s">
        <v>12</v>
      </c>
      <c r="G36" s="12" t="s">
        <v>13</v>
      </c>
      <c r="H36" s="12" t="s">
        <v>12</v>
      </c>
      <c r="I36" s="12" t="s">
        <v>13</v>
      </c>
      <c r="J36" s="12" t="s">
        <v>12</v>
      </c>
      <c r="K36" s="12" t="s">
        <v>13</v>
      </c>
      <c r="L36" s="12" t="s">
        <v>12</v>
      </c>
      <c r="M36" s="12" t="s">
        <v>13</v>
      </c>
      <c r="N36" s="12" t="s">
        <v>12</v>
      </c>
      <c r="O36" s="12" t="s">
        <v>13</v>
      </c>
      <c r="P36" s="12" t="s">
        <v>12</v>
      </c>
      <c r="Q36" s="12" t="s">
        <v>13</v>
      </c>
      <c r="R36" s="12" t="s">
        <v>12</v>
      </c>
      <c r="S36" s="13" t="s">
        <v>13</v>
      </c>
    </row>
    <row r="37" spans="1:19" s="16" customFormat="1" x14ac:dyDescent="0.25">
      <c r="A37" s="14" t="s">
        <v>14</v>
      </c>
      <c r="B37" s="15"/>
      <c r="C37" s="47">
        <f>908526.105*1.2</f>
        <v>1090231.3259999999</v>
      </c>
      <c r="D37" s="15"/>
      <c r="E37" s="47">
        <f>+C37</f>
        <v>1090231.3259999999</v>
      </c>
      <c r="F37" s="15"/>
      <c r="G37" s="47">
        <f>991326.105*1.2</f>
        <v>1189591.3259999999</v>
      </c>
      <c r="H37" s="15"/>
      <c r="I37" s="47">
        <f>1086954.5843*1.2</f>
        <v>1304345.50116</v>
      </c>
      <c r="J37" s="15"/>
      <c r="K37" s="47">
        <f>1200000*1.2</f>
        <v>1440000</v>
      </c>
      <c r="L37" s="15"/>
      <c r="M37" s="47">
        <f>1350000*1.2</f>
        <v>1620000</v>
      </c>
      <c r="N37" s="15"/>
      <c r="O37" s="47">
        <f>1178526.762*1.2</f>
        <v>1414232.1144000001</v>
      </c>
      <c r="P37" s="15"/>
      <c r="Q37" s="47">
        <f>454263.0525*1.2</f>
        <v>545115.66299999994</v>
      </c>
      <c r="R37" s="15"/>
      <c r="S37" s="47">
        <f>1577717.568*1.2</f>
        <v>1893261.0815999999</v>
      </c>
    </row>
    <row r="38" spans="1:19" s="16" customFormat="1" x14ac:dyDescent="0.25">
      <c r="A38" s="14" t="s">
        <v>15</v>
      </c>
      <c r="B38" s="17"/>
      <c r="C38" s="18">
        <f>106453.89*1.2</f>
        <v>127744.66799999999</v>
      </c>
      <c r="D38" s="17"/>
      <c r="E38" s="18">
        <f>+C38</f>
        <v>127744.66799999999</v>
      </c>
      <c r="F38" s="17"/>
      <c r="G38" s="18">
        <f>+E38</f>
        <v>127744.66799999999</v>
      </c>
      <c r="H38" s="17"/>
      <c r="I38" s="18">
        <f>+G38</f>
        <v>127744.66799999999</v>
      </c>
      <c r="J38" s="17"/>
      <c r="K38" s="18">
        <f>+I38</f>
        <v>127744.66799999999</v>
      </c>
      <c r="L38" s="17"/>
      <c r="M38" s="18">
        <f>+K38</f>
        <v>127744.66799999999</v>
      </c>
      <c r="N38" s="17"/>
      <c r="O38" s="18">
        <f>+M38</f>
        <v>127744.66799999999</v>
      </c>
      <c r="P38" s="17"/>
      <c r="Q38" s="18">
        <f>+O38</f>
        <v>127744.66799999999</v>
      </c>
      <c r="R38" s="17"/>
      <c r="S38" s="18">
        <f>+Q38</f>
        <v>127744.66799999999</v>
      </c>
    </row>
    <row r="39" spans="1:19" s="16" customFormat="1" x14ac:dyDescent="0.25">
      <c r="A39" s="19" t="s">
        <v>16</v>
      </c>
      <c r="B39" s="83">
        <f>+C37+C38</f>
        <v>1217975.9939999999</v>
      </c>
      <c r="C39" s="83"/>
      <c r="D39" s="83">
        <f>+E37+E38</f>
        <v>1217975.9939999999</v>
      </c>
      <c r="E39" s="83"/>
      <c r="F39" s="83">
        <f>+G37+G38</f>
        <v>1317335.9939999999</v>
      </c>
      <c r="G39" s="83"/>
      <c r="H39" s="83">
        <f>+I37+I38</f>
        <v>1432090.16916</v>
      </c>
      <c r="I39" s="83"/>
      <c r="J39" s="83">
        <f>+K37+K38</f>
        <v>1567744.6680000001</v>
      </c>
      <c r="K39" s="83"/>
      <c r="L39" s="83">
        <f>+M37+M38</f>
        <v>1747744.6680000001</v>
      </c>
      <c r="M39" s="83"/>
      <c r="N39" s="83">
        <f>+O37+O38</f>
        <v>1541976.7824000001</v>
      </c>
      <c r="O39" s="83"/>
      <c r="P39" s="83">
        <f>+Q37+Q38</f>
        <v>672860.33099999989</v>
      </c>
      <c r="Q39" s="83"/>
      <c r="R39" s="83">
        <f>+S37+S38</f>
        <v>2021005.7496</v>
      </c>
      <c r="S39" s="83"/>
    </row>
    <row r="40" spans="1:19" s="16" customFormat="1" x14ac:dyDescent="0.25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8"/>
    </row>
    <row r="41" spans="1:19" s="16" customFormat="1" x14ac:dyDescent="0.25">
      <c r="A41" s="14" t="s">
        <v>17</v>
      </c>
      <c r="B41" s="20">
        <v>8.3299999999999999E-2</v>
      </c>
      <c r="C41" s="18">
        <f>B41*B39</f>
        <v>101457.4003002</v>
      </c>
      <c r="D41" s="20">
        <v>8.3299999999999999E-2</v>
      </c>
      <c r="E41" s="18">
        <f>D41*D39</f>
        <v>101457.4003002</v>
      </c>
      <c r="F41" s="20">
        <v>8.3299999999999999E-2</v>
      </c>
      <c r="G41" s="18">
        <f>F41*$F$39</f>
        <v>109734.08830019999</v>
      </c>
      <c r="H41" s="20">
        <v>8.3299999999999999E-2</v>
      </c>
      <c r="I41" s="18">
        <f>H41*$H$39</f>
        <v>119293.111091028</v>
      </c>
      <c r="J41" s="20">
        <v>8.3299999999999999E-2</v>
      </c>
      <c r="K41" s="18">
        <f>J41*$J$39</f>
        <v>130593.1308444</v>
      </c>
      <c r="L41" s="20">
        <v>8.3299999999999999E-2</v>
      </c>
      <c r="M41" s="18">
        <f>L41*$L$39</f>
        <v>145587.1308444</v>
      </c>
      <c r="N41" s="20">
        <v>8.3299999999999999E-2</v>
      </c>
      <c r="O41" s="18">
        <f>N41*$N$39</f>
        <v>128446.66597392001</v>
      </c>
      <c r="P41" s="20">
        <v>8.3299999999999999E-2</v>
      </c>
      <c r="Q41" s="18">
        <f>P41*$P$39</f>
        <v>56049.265572299992</v>
      </c>
      <c r="R41" s="20">
        <v>8.3299999999999999E-2</v>
      </c>
      <c r="S41" s="5">
        <f>R41*$R$39</f>
        <v>168349.77894168001</v>
      </c>
    </row>
    <row r="42" spans="1:19" s="16" customFormat="1" x14ac:dyDescent="0.25">
      <c r="A42" s="14" t="s">
        <v>18</v>
      </c>
      <c r="B42" s="20">
        <v>8.3299999999999999E-2</v>
      </c>
      <c r="C42" s="18">
        <f>B42*B39</f>
        <v>101457.4003002</v>
      </c>
      <c r="D42" s="20">
        <v>8.3299999999999999E-2</v>
      </c>
      <c r="E42" s="18">
        <f>D42*D39</f>
        <v>101457.4003002</v>
      </c>
      <c r="F42" s="20">
        <v>8.3299999999999999E-2</v>
      </c>
      <c r="G42" s="18">
        <f>F42*$F$39</f>
        <v>109734.08830019999</v>
      </c>
      <c r="H42" s="20">
        <v>8.3299999999999999E-2</v>
      </c>
      <c r="I42" s="18">
        <f>H42*$H$39</f>
        <v>119293.111091028</v>
      </c>
      <c r="J42" s="20">
        <v>8.3299999999999999E-2</v>
      </c>
      <c r="K42" s="18">
        <f>J42*$J$39</f>
        <v>130593.1308444</v>
      </c>
      <c r="L42" s="20">
        <v>8.3299999999999999E-2</v>
      </c>
      <c r="M42" s="18">
        <f>L42*$L$39</f>
        <v>145587.1308444</v>
      </c>
      <c r="N42" s="20">
        <v>8.3299999999999999E-2</v>
      </c>
      <c r="O42" s="18">
        <f>N42*$N$39</f>
        <v>128446.66597392001</v>
      </c>
      <c r="P42" s="20">
        <v>8.3299999999999999E-2</v>
      </c>
      <c r="Q42" s="18">
        <f>P42*$P$39</f>
        <v>56049.265572299992</v>
      </c>
      <c r="R42" s="20">
        <v>8.3299999999999999E-2</v>
      </c>
      <c r="S42" s="5">
        <f>R42*$R$39</f>
        <v>168349.77894168001</v>
      </c>
    </row>
    <row r="43" spans="1:19" s="16" customFormat="1" x14ac:dyDescent="0.25">
      <c r="A43" s="14" t="s">
        <v>19</v>
      </c>
      <c r="B43" s="20">
        <v>0.01</v>
      </c>
      <c r="C43" s="18">
        <f>B43*B39</f>
        <v>12179.75994</v>
      </c>
      <c r="D43" s="20">
        <v>0.01</v>
      </c>
      <c r="E43" s="18">
        <f>D43*D39</f>
        <v>12179.75994</v>
      </c>
      <c r="F43" s="20">
        <v>0.01</v>
      </c>
      <c r="G43" s="18">
        <f>F43*$F$39</f>
        <v>13173.35994</v>
      </c>
      <c r="H43" s="20">
        <v>0.01</v>
      </c>
      <c r="I43" s="18">
        <f>H43*$H$39</f>
        <v>14320.9016916</v>
      </c>
      <c r="J43" s="20">
        <v>0.01</v>
      </c>
      <c r="K43" s="18">
        <f>J43*$J$39</f>
        <v>15677.446680000001</v>
      </c>
      <c r="L43" s="20">
        <v>0.01</v>
      </c>
      <c r="M43" s="18">
        <f>L43*$L$39</f>
        <v>17477.446680000001</v>
      </c>
      <c r="N43" s="20">
        <v>0.01</v>
      </c>
      <c r="O43" s="18">
        <f>N43*$N$39</f>
        <v>15419.767824000002</v>
      </c>
      <c r="P43" s="20">
        <v>0.01</v>
      </c>
      <c r="Q43" s="18">
        <f>P43*$P$39</f>
        <v>6728.6033099999986</v>
      </c>
      <c r="R43" s="20">
        <v>0.01</v>
      </c>
      <c r="S43" s="5">
        <f>R43*$R$39</f>
        <v>20210.057496000001</v>
      </c>
    </row>
    <row r="44" spans="1:19" s="16" customFormat="1" x14ac:dyDescent="0.25">
      <c r="A44" s="14" t="s">
        <v>20</v>
      </c>
      <c r="B44" s="20">
        <v>4.1700000000000001E-2</v>
      </c>
      <c r="C44" s="18">
        <f>B44*C37</f>
        <v>45462.6462942</v>
      </c>
      <c r="D44" s="20">
        <v>4.1700000000000001E-2</v>
      </c>
      <c r="E44" s="18">
        <f>D44*E37</f>
        <v>45462.6462942</v>
      </c>
      <c r="F44" s="20">
        <v>4.1700000000000001E-2</v>
      </c>
      <c r="G44" s="18">
        <f>F44*G37</f>
        <v>49605.958294199998</v>
      </c>
      <c r="H44" s="20">
        <v>4.1700000000000001E-2</v>
      </c>
      <c r="I44" s="18">
        <f>H44*I37</f>
        <v>54391.207398372004</v>
      </c>
      <c r="J44" s="20">
        <v>4.1700000000000001E-2</v>
      </c>
      <c r="K44" s="18">
        <f>J44*K37</f>
        <v>60048</v>
      </c>
      <c r="L44" s="20">
        <v>4.1700000000000001E-2</v>
      </c>
      <c r="M44" s="18">
        <f>L44*M37</f>
        <v>67554</v>
      </c>
      <c r="N44" s="20">
        <v>4.1700000000000001E-2</v>
      </c>
      <c r="O44" s="18">
        <f>N44*O37</f>
        <v>58973.479170480008</v>
      </c>
      <c r="P44" s="20">
        <v>4.1700000000000001E-2</v>
      </c>
      <c r="Q44" s="18">
        <f>P44*Q37</f>
        <v>22731.3231471</v>
      </c>
      <c r="R44" s="20">
        <v>4.1700000000000001E-2</v>
      </c>
      <c r="S44" s="18">
        <f>R44*S37</f>
        <v>78948.987102719999</v>
      </c>
    </row>
    <row r="45" spans="1:19" s="16" customFormat="1" x14ac:dyDescent="0.25">
      <c r="A45" s="19" t="s">
        <v>21</v>
      </c>
      <c r="B45" s="80">
        <f>SUM(C41:C44)</f>
        <v>260557.20683459999</v>
      </c>
      <c r="C45" s="80"/>
      <c r="D45" s="80">
        <f>SUM(E41:E44)</f>
        <v>260557.20683459999</v>
      </c>
      <c r="E45" s="80"/>
      <c r="F45" s="80">
        <f>+SUM(G41:G44)</f>
        <v>282247.49483459996</v>
      </c>
      <c r="G45" s="80"/>
      <c r="H45" s="80">
        <f>+SUM(I41:I44)</f>
        <v>307298.33127202804</v>
      </c>
      <c r="I45" s="80"/>
      <c r="J45" s="80">
        <f>+SUM(K41:K44)</f>
        <v>336911.7083688</v>
      </c>
      <c r="K45" s="80"/>
      <c r="L45" s="80">
        <f>+SUM(M41:M44)</f>
        <v>376205.7083688</v>
      </c>
      <c r="M45" s="80"/>
      <c r="N45" s="80">
        <f>+SUM(O41:O44)</f>
        <v>331286.57894232002</v>
      </c>
      <c r="O45" s="80"/>
      <c r="P45" s="80">
        <f>SUM(Q41:Q44)</f>
        <v>141558.45760169998</v>
      </c>
      <c r="Q45" s="80"/>
      <c r="R45" s="80">
        <f>SUM(S41:S44)</f>
        <v>435858.60248208005</v>
      </c>
      <c r="S45" s="80"/>
    </row>
    <row r="46" spans="1:19" s="16" customFormat="1" x14ac:dyDescent="0.2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8"/>
    </row>
    <row r="47" spans="1:19" s="65" customFormat="1" x14ac:dyDescent="0.25">
      <c r="A47" s="62" t="s">
        <v>22</v>
      </c>
      <c r="B47" s="63">
        <v>0</v>
      </c>
      <c r="C47" s="64">
        <f>+B47*$C$5</f>
        <v>0</v>
      </c>
      <c r="D47" s="63">
        <v>0</v>
      </c>
      <c r="E47" s="64">
        <f>+D47*$C$5</f>
        <v>0</v>
      </c>
      <c r="F47" s="63">
        <v>0</v>
      </c>
      <c r="G47" s="64">
        <f>+F47*$G$5</f>
        <v>0</v>
      </c>
      <c r="H47" s="63">
        <v>0</v>
      </c>
      <c r="I47" s="64">
        <f>+H47*$I$5</f>
        <v>0</v>
      </c>
      <c r="J47" s="63">
        <v>0</v>
      </c>
      <c r="K47" s="64">
        <f>+J47*$K$5</f>
        <v>0</v>
      </c>
      <c r="L47" s="63">
        <v>0</v>
      </c>
      <c r="M47" s="64">
        <f>+L47*$M$5</f>
        <v>0</v>
      </c>
      <c r="N47" s="63">
        <v>0</v>
      </c>
      <c r="O47" s="64">
        <f>+N47*$O$5</f>
        <v>0</v>
      </c>
      <c r="P47" s="63">
        <v>0</v>
      </c>
      <c r="Q47" s="64">
        <f>+P47*$Q$5</f>
        <v>0</v>
      </c>
      <c r="R47" s="63">
        <v>0</v>
      </c>
      <c r="S47" s="64">
        <f>+R47*$S$5</f>
        <v>0</v>
      </c>
    </row>
    <row r="48" spans="1:19" s="16" customFormat="1" x14ac:dyDescent="0.25">
      <c r="A48" s="3" t="s">
        <v>23</v>
      </c>
      <c r="B48" s="7">
        <v>0.12</v>
      </c>
      <c r="C48" s="5">
        <f>B48*C37</f>
        <v>130827.75911999999</v>
      </c>
      <c r="D48" s="7">
        <v>0.12</v>
      </c>
      <c r="E48" s="5">
        <f>D48*E37</f>
        <v>130827.75911999999</v>
      </c>
      <c r="F48" s="7">
        <v>0.12</v>
      </c>
      <c r="G48" s="5">
        <f>F48*$G$37</f>
        <v>142750.95911999998</v>
      </c>
      <c r="H48" s="7">
        <v>0.12</v>
      </c>
      <c r="I48" s="5">
        <f>+H48*$I$37</f>
        <v>156521.4601392</v>
      </c>
      <c r="J48" s="7">
        <v>0.12</v>
      </c>
      <c r="K48" s="5">
        <f>+J48*$K$37</f>
        <v>172800</v>
      </c>
      <c r="L48" s="7">
        <v>0.12</v>
      </c>
      <c r="M48" s="5">
        <f>L48*$M$37</f>
        <v>194400</v>
      </c>
      <c r="N48" s="7">
        <v>0.12</v>
      </c>
      <c r="O48" s="5">
        <f>N48*$O$37</f>
        <v>169707.85372800002</v>
      </c>
      <c r="P48" s="7">
        <v>0.12</v>
      </c>
      <c r="Q48" s="5">
        <f>908526*P48</f>
        <v>109023.12</v>
      </c>
      <c r="R48" s="7">
        <v>0.12</v>
      </c>
      <c r="S48" s="5">
        <f>R48*$S$37</f>
        <v>227191.32979199997</v>
      </c>
    </row>
    <row r="49" spans="1:20" s="16" customFormat="1" x14ac:dyDescent="0.25">
      <c r="A49" s="3" t="s">
        <v>24</v>
      </c>
      <c r="B49" s="7">
        <v>1.044E-2</v>
      </c>
      <c r="C49" s="5">
        <f>B49*C37</f>
        <v>11382.015043439998</v>
      </c>
      <c r="D49" s="7">
        <v>6.9599999999999995E-2</v>
      </c>
      <c r="E49" s="5">
        <f>D49*E37</f>
        <v>75880.100289599985</v>
      </c>
      <c r="F49" s="7">
        <v>6.9599999999999995E-2</v>
      </c>
      <c r="G49" s="5">
        <f>F49*$G$37</f>
        <v>82795.55628959999</v>
      </c>
      <c r="H49" s="7">
        <v>6.9599999999999995E-2</v>
      </c>
      <c r="I49" s="5">
        <f>+H49*$I$37</f>
        <v>90782.446880735995</v>
      </c>
      <c r="J49" s="7">
        <v>6.9599999999999995E-2</v>
      </c>
      <c r="K49" s="5">
        <f>+J49*$K$37</f>
        <v>100224</v>
      </c>
      <c r="L49" s="7">
        <v>6.9599999999999995E-2</v>
      </c>
      <c r="M49" s="5">
        <f>L49*$M$37</f>
        <v>112751.99999999999</v>
      </c>
      <c r="N49" s="7">
        <v>1.044E-2</v>
      </c>
      <c r="O49" s="5">
        <f>N49*$O$37</f>
        <v>14764.583274336001</v>
      </c>
      <c r="P49" s="7">
        <v>1.044E-2</v>
      </c>
      <c r="Q49" s="5">
        <f>908526*P49</f>
        <v>9485.0114400000002</v>
      </c>
      <c r="R49" s="7">
        <v>6.9599999999999995E-2</v>
      </c>
      <c r="S49" s="5">
        <f>R49*$S$37</f>
        <v>131770.97127935998</v>
      </c>
    </row>
    <row r="50" spans="1:20" s="16" customFormat="1" x14ac:dyDescent="0.25">
      <c r="A50" s="3" t="s">
        <v>25</v>
      </c>
      <c r="B50" s="7">
        <v>0.04</v>
      </c>
      <c r="C50" s="5">
        <f>B50*C37</f>
        <v>43609.253039999996</v>
      </c>
      <c r="D50" s="7">
        <v>0.04</v>
      </c>
      <c r="E50" s="5">
        <f>D50*E37</f>
        <v>43609.253039999996</v>
      </c>
      <c r="F50" s="7">
        <v>0.04</v>
      </c>
      <c r="G50" s="5">
        <f>F50*$G$37</f>
        <v>47583.653039999997</v>
      </c>
      <c r="H50" s="7">
        <v>0.04</v>
      </c>
      <c r="I50" s="5">
        <f>+H50*$I$37</f>
        <v>52173.820046400004</v>
      </c>
      <c r="J50" s="7">
        <v>0.04</v>
      </c>
      <c r="K50" s="5">
        <f>+J50*$K$37</f>
        <v>57600</v>
      </c>
      <c r="L50" s="7">
        <v>0.04</v>
      </c>
      <c r="M50" s="5">
        <f>L50*$M$37</f>
        <v>64800</v>
      </c>
      <c r="N50" s="7">
        <v>0.04</v>
      </c>
      <c r="O50" s="5">
        <f>N50*$O$37</f>
        <v>56569.284576000005</v>
      </c>
      <c r="P50" s="7">
        <v>0.04</v>
      </c>
      <c r="Q50" s="5">
        <f>908526*P50</f>
        <v>36341.040000000001</v>
      </c>
      <c r="R50" s="7">
        <v>0.04</v>
      </c>
      <c r="S50" s="5">
        <f>R50*$S$37</f>
        <v>75730.443264000001</v>
      </c>
    </row>
    <row r="51" spans="1:20" s="16" customFormat="1" x14ac:dyDescent="0.25">
      <c r="A51" s="3" t="s">
        <v>26</v>
      </c>
      <c r="B51" s="7"/>
      <c r="C51" s="18">
        <f>+B51*$C$5</f>
        <v>0</v>
      </c>
      <c r="D51" s="7"/>
      <c r="E51" s="18">
        <f>+D51*$C$5</f>
        <v>0</v>
      </c>
      <c r="F51" s="20">
        <v>0</v>
      </c>
      <c r="G51" s="18">
        <f>+F51*$G$5</f>
        <v>0</v>
      </c>
      <c r="H51" s="20">
        <v>0</v>
      </c>
      <c r="I51" s="18">
        <f>+H51*$I$5</f>
        <v>0</v>
      </c>
      <c r="J51" s="20">
        <v>0</v>
      </c>
      <c r="K51" s="18">
        <f>+J51*$K$5</f>
        <v>0</v>
      </c>
      <c r="L51" s="20">
        <v>0</v>
      </c>
      <c r="M51" s="18">
        <f>+L51*$M$5</f>
        <v>0</v>
      </c>
      <c r="N51" s="20">
        <v>0</v>
      </c>
      <c r="O51" s="18">
        <f>+N51*$O$5</f>
        <v>0</v>
      </c>
      <c r="P51" s="20">
        <v>0</v>
      </c>
      <c r="Q51" s="18">
        <f>+P51*$Q$5</f>
        <v>0</v>
      </c>
      <c r="R51" s="20">
        <v>0</v>
      </c>
      <c r="S51" s="18">
        <f>+R51*$S$5</f>
        <v>0</v>
      </c>
    </row>
    <row r="52" spans="1:20" s="16" customFormat="1" x14ac:dyDescent="0.25">
      <c r="A52" s="3" t="s">
        <v>27</v>
      </c>
      <c r="B52" s="7"/>
      <c r="C52" s="18">
        <f>+B52*$C$5</f>
        <v>0</v>
      </c>
      <c r="D52" s="7"/>
      <c r="E52" s="18">
        <f>+D52*$C$5</f>
        <v>0</v>
      </c>
      <c r="F52" s="20">
        <v>0</v>
      </c>
      <c r="G52" s="18">
        <f>+F52*$G$5</f>
        <v>0</v>
      </c>
      <c r="H52" s="20">
        <v>0</v>
      </c>
      <c r="I52" s="18">
        <f>+H52*$I$5</f>
        <v>0</v>
      </c>
      <c r="J52" s="20">
        <v>0</v>
      </c>
      <c r="K52" s="18">
        <f>+J52*$K$5</f>
        <v>0</v>
      </c>
      <c r="L52" s="20">
        <v>0</v>
      </c>
      <c r="M52" s="18">
        <f>+L52*$M$5</f>
        <v>0</v>
      </c>
      <c r="N52" s="20">
        <v>0</v>
      </c>
      <c r="O52" s="18">
        <f>+N52*$O$5</f>
        <v>0</v>
      </c>
      <c r="P52" s="20">
        <v>0</v>
      </c>
      <c r="Q52" s="18">
        <f>+P52*$Q$5</f>
        <v>0</v>
      </c>
      <c r="R52" s="20">
        <v>0</v>
      </c>
      <c r="S52" s="18">
        <f>+R52*$S$5</f>
        <v>0</v>
      </c>
    </row>
    <row r="53" spans="1:20" s="16" customFormat="1" x14ac:dyDescent="0.25">
      <c r="A53" s="6" t="s">
        <v>21</v>
      </c>
      <c r="B53" s="79">
        <f>SUM(C47:C52)</f>
        <v>185819.02720343997</v>
      </c>
      <c r="C53" s="79"/>
      <c r="D53" s="79">
        <f>SUM(E47:E52)</f>
        <v>250317.11244959995</v>
      </c>
      <c r="E53" s="79"/>
      <c r="F53" s="79">
        <f>+SUM(G47:G52)</f>
        <v>273130.16844959999</v>
      </c>
      <c r="G53" s="79"/>
      <c r="H53" s="79">
        <f>+SUM(I47:I52)</f>
        <v>299477.72706633603</v>
      </c>
      <c r="I53" s="79"/>
      <c r="J53" s="80">
        <f>+SUM(K47:K52)</f>
        <v>330624</v>
      </c>
      <c r="K53" s="80"/>
      <c r="L53" s="80">
        <f>+SUM(M47:M52)</f>
        <v>371952</v>
      </c>
      <c r="M53" s="80"/>
      <c r="N53" s="80">
        <f>+SUM(O47:O52)</f>
        <v>241041.72157833603</v>
      </c>
      <c r="O53" s="80"/>
      <c r="P53" s="80">
        <f>SUM(Q47:Q52)</f>
        <v>154849.17144000001</v>
      </c>
      <c r="Q53" s="80"/>
      <c r="R53" s="80">
        <f>SUM(S47:S52)</f>
        <v>434692.74433535995</v>
      </c>
      <c r="S53" s="80"/>
    </row>
    <row r="54" spans="1:20" s="16" customFormat="1" x14ac:dyDescent="0.25">
      <c r="A54" s="6" t="s">
        <v>28</v>
      </c>
      <c r="B54" s="73">
        <f>+B39+B45+B53</f>
        <v>1664352.22803804</v>
      </c>
      <c r="C54" s="73"/>
      <c r="D54" s="73">
        <f>+D39+D45+D53</f>
        <v>1728850.3132841999</v>
      </c>
      <c r="E54" s="73"/>
      <c r="F54" s="73">
        <f>+F39+F45+F53</f>
        <v>1872713.6572842</v>
      </c>
      <c r="G54" s="73"/>
      <c r="H54" s="74">
        <f>+H39+H45+H53</f>
        <v>2038866.2274983639</v>
      </c>
      <c r="I54" s="75"/>
      <c r="J54" s="73">
        <f>+J39+J45+J53</f>
        <v>2235280.3763688002</v>
      </c>
      <c r="K54" s="73"/>
      <c r="L54" s="73">
        <f>+L39+L45+L53</f>
        <v>2495902.3763688002</v>
      </c>
      <c r="M54" s="73"/>
      <c r="N54" s="73">
        <f>+N39+N45+N53</f>
        <v>2114305.0829206561</v>
      </c>
      <c r="O54" s="73"/>
      <c r="P54" s="73">
        <f>+P39+P45+P53</f>
        <v>969267.96004169993</v>
      </c>
      <c r="Q54" s="73"/>
      <c r="R54" s="73">
        <f>+R39+R45+R53</f>
        <v>2891557.0964174401</v>
      </c>
      <c r="S54" s="73"/>
    </row>
    <row r="55" spans="1:20" s="16" customFormat="1" x14ac:dyDescent="0.25">
      <c r="A55" s="6" t="s">
        <v>29</v>
      </c>
      <c r="B55" s="70">
        <v>16</v>
      </c>
      <c r="C55" s="70"/>
      <c r="D55" s="70">
        <v>2</v>
      </c>
      <c r="E55" s="70"/>
      <c r="F55" s="70">
        <v>10</v>
      </c>
      <c r="G55" s="70"/>
      <c r="H55" s="70">
        <v>1</v>
      </c>
      <c r="I55" s="70"/>
      <c r="J55" s="70">
        <v>6</v>
      </c>
      <c r="K55" s="70"/>
      <c r="L55" s="70">
        <v>4</v>
      </c>
      <c r="M55" s="70"/>
      <c r="N55" s="70">
        <v>1</v>
      </c>
      <c r="O55" s="70"/>
      <c r="P55" s="71">
        <v>1</v>
      </c>
      <c r="Q55" s="72"/>
      <c r="R55" s="71">
        <v>3</v>
      </c>
      <c r="S55" s="72"/>
      <c r="T55" s="21"/>
    </row>
    <row r="56" spans="1:20" s="16" customFormat="1" ht="30" x14ac:dyDescent="0.25">
      <c r="A56" s="6" t="s">
        <v>30</v>
      </c>
      <c r="B56" s="68">
        <f>+B54*B55</f>
        <v>26629635.64860864</v>
      </c>
      <c r="C56" s="68"/>
      <c r="D56" s="68">
        <f>+D54*D55</f>
        <v>3457700.6265683998</v>
      </c>
      <c r="E56" s="68"/>
      <c r="F56" s="68">
        <f>+F54*F55</f>
        <v>18727136.572841998</v>
      </c>
      <c r="G56" s="68"/>
      <c r="H56" s="68">
        <f>+H54*H55</f>
        <v>2038866.2274983639</v>
      </c>
      <c r="I56" s="68"/>
      <c r="J56" s="68">
        <f>+J54*J55</f>
        <v>13411682.258212801</v>
      </c>
      <c r="K56" s="68"/>
      <c r="L56" s="68">
        <f>+L54*L55</f>
        <v>9983609.5054752007</v>
      </c>
      <c r="M56" s="68"/>
      <c r="N56" s="68">
        <f>+N54*N55</f>
        <v>2114305.0829206561</v>
      </c>
      <c r="O56" s="68"/>
      <c r="P56" s="68">
        <f>+P54*P55</f>
        <v>969267.96004169993</v>
      </c>
      <c r="Q56" s="68"/>
      <c r="R56" s="68">
        <f>+R54*R55</f>
        <v>8674671.2892523203</v>
      </c>
      <c r="S56" s="68"/>
    </row>
    <row r="57" spans="1:20" s="16" customFormat="1" x14ac:dyDescent="0.25">
      <c r="A57" s="6" t="s">
        <v>31</v>
      </c>
      <c r="B57" s="66">
        <f>+SUM(B56:S56)</f>
        <v>86006875.171420097</v>
      </c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</row>
    <row r="58" spans="1:20" s="16" customFormat="1" x14ac:dyDescent="0.25">
      <c r="A58" s="6" t="s">
        <v>32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</row>
    <row r="59" spans="1:20" s="16" customFormat="1" x14ac:dyDescent="0.25">
      <c r="A59" s="6" t="s">
        <v>33</v>
      </c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</row>
    <row r="60" spans="1:20" s="16" customFormat="1" x14ac:dyDescent="0.25">
      <c r="A60" s="6" t="s">
        <v>34</v>
      </c>
      <c r="B60" s="66">
        <f>+B57*(B58+B59)</f>
        <v>0</v>
      </c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</row>
    <row r="61" spans="1:20" s="16" customFormat="1" x14ac:dyDescent="0.25">
      <c r="A61" s="6" t="s">
        <v>35</v>
      </c>
      <c r="B61" s="66">
        <f>+(B57+B60)*10%*19%</f>
        <v>1634130.6282569822</v>
      </c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</row>
    <row r="62" spans="1:20" x14ac:dyDescent="0.25">
      <c r="A62" s="9" t="s">
        <v>36</v>
      </c>
      <c r="B62" s="67">
        <f>+B57+B60+B61</f>
        <v>87641005.799677074</v>
      </c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</row>
    <row r="63" spans="1:20" x14ac:dyDescent="0.25">
      <c r="A63" s="48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</row>
    <row r="64" spans="1:20" x14ac:dyDescent="0.25">
      <c r="S64" s="40"/>
    </row>
    <row r="66" spans="3:5" x14ac:dyDescent="0.25">
      <c r="C66" s="38"/>
      <c r="D66" s="38"/>
      <c r="E66" s="38"/>
    </row>
  </sheetData>
  <mergeCells count="156">
    <mergeCell ref="A3:A4"/>
    <mergeCell ref="B3:C3"/>
    <mergeCell ref="F3:G3"/>
    <mergeCell ref="H3:I3"/>
    <mergeCell ref="J3:K3"/>
    <mergeCell ref="L3:M3"/>
    <mergeCell ref="A1:S1"/>
    <mergeCell ref="B2:C2"/>
    <mergeCell ref="F2:G2"/>
    <mergeCell ref="H2:I2"/>
    <mergeCell ref="J2:K2"/>
    <mergeCell ref="L2:M2"/>
    <mergeCell ref="N2:O2"/>
    <mergeCell ref="P2:Q2"/>
    <mergeCell ref="R2:S2"/>
    <mergeCell ref="N3:O3"/>
    <mergeCell ref="P3:Q3"/>
    <mergeCell ref="R3:S3"/>
    <mergeCell ref="B7:C7"/>
    <mergeCell ref="F7:G7"/>
    <mergeCell ref="H7:I7"/>
    <mergeCell ref="J7:K7"/>
    <mergeCell ref="L7:M7"/>
    <mergeCell ref="N7:O7"/>
    <mergeCell ref="P7:Q7"/>
    <mergeCell ref="R7:S7"/>
    <mergeCell ref="B12:C12"/>
    <mergeCell ref="F12:G12"/>
    <mergeCell ref="H12:I12"/>
    <mergeCell ref="J12:K12"/>
    <mergeCell ref="L12:M12"/>
    <mergeCell ref="N12:O12"/>
    <mergeCell ref="P12:Q12"/>
    <mergeCell ref="R12:S12"/>
    <mergeCell ref="P19:Q19"/>
    <mergeCell ref="R19:S19"/>
    <mergeCell ref="B20:C20"/>
    <mergeCell ref="F20:G20"/>
    <mergeCell ref="H20:I20"/>
    <mergeCell ref="J20:K20"/>
    <mergeCell ref="L20:M20"/>
    <mergeCell ref="N20:O20"/>
    <mergeCell ref="P20:Q20"/>
    <mergeCell ref="R20:S20"/>
    <mergeCell ref="B19:C19"/>
    <mergeCell ref="F19:G19"/>
    <mergeCell ref="H19:I19"/>
    <mergeCell ref="J19:K19"/>
    <mergeCell ref="L19:M19"/>
    <mergeCell ref="N19:O19"/>
    <mergeCell ref="B23:S23"/>
    <mergeCell ref="B24:S24"/>
    <mergeCell ref="B25:S25"/>
    <mergeCell ref="B26:S26"/>
    <mergeCell ref="B27:S27"/>
    <mergeCell ref="B28:S28"/>
    <mergeCell ref="P21:Q21"/>
    <mergeCell ref="R21:S21"/>
    <mergeCell ref="B22:C22"/>
    <mergeCell ref="F22:G22"/>
    <mergeCell ref="H22:I22"/>
    <mergeCell ref="J22:K22"/>
    <mergeCell ref="L22:M22"/>
    <mergeCell ref="N22:O22"/>
    <mergeCell ref="P22:Q22"/>
    <mergeCell ref="R22:S22"/>
    <mergeCell ref="B21:C21"/>
    <mergeCell ref="F21:G21"/>
    <mergeCell ref="H21:I21"/>
    <mergeCell ref="J21:K21"/>
    <mergeCell ref="L21:M21"/>
    <mergeCell ref="N21:O21"/>
    <mergeCell ref="A30:S30"/>
    <mergeCell ref="A31:S32"/>
    <mergeCell ref="A33:S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A35:A36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A40:S40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A46:S46"/>
    <mergeCell ref="B53:C53"/>
    <mergeCell ref="D53:E53"/>
    <mergeCell ref="F53:G53"/>
    <mergeCell ref="H53:I53"/>
    <mergeCell ref="J53:K53"/>
    <mergeCell ref="L53:M53"/>
    <mergeCell ref="N53:O53"/>
    <mergeCell ref="P53:Q53"/>
    <mergeCell ref="R53:S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B61:S61"/>
    <mergeCell ref="B62:S62"/>
    <mergeCell ref="P56:Q56"/>
    <mergeCell ref="R56:S56"/>
    <mergeCell ref="B57:S57"/>
    <mergeCell ref="B58:S58"/>
    <mergeCell ref="B59:S59"/>
    <mergeCell ref="B60:S60"/>
    <mergeCell ref="N55:O55"/>
    <mergeCell ref="P55:Q55"/>
    <mergeCell ref="R55:S55"/>
    <mergeCell ref="B56:C56"/>
    <mergeCell ref="D56:E56"/>
    <mergeCell ref="F56:G56"/>
    <mergeCell ref="H56:I56"/>
    <mergeCell ref="J56:K56"/>
    <mergeCell ref="L56:M56"/>
    <mergeCell ref="N56:O56"/>
    <mergeCell ref="B55:C55"/>
    <mergeCell ref="D55:E55"/>
    <mergeCell ref="F55:G55"/>
    <mergeCell ref="H55:I55"/>
    <mergeCell ref="J55:K55"/>
    <mergeCell ref="L55:M55"/>
  </mergeCells>
  <printOptions horizontalCentered="1"/>
  <pageMargins left="0.23622047244094491" right="0.23622047244094491" top="1.7322834645669292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zoomScaleNormal="100" workbookViewId="0">
      <selection activeCell="A4" sqref="A4:B4"/>
    </sheetView>
  </sheetViews>
  <sheetFormatPr baseColWidth="10" defaultRowHeight="15" x14ac:dyDescent="0.25"/>
  <cols>
    <col min="1" max="1" width="32.5703125" customWidth="1"/>
    <col min="2" max="2" width="9.7109375" customWidth="1"/>
    <col min="3" max="3" width="23.28515625" customWidth="1"/>
    <col min="4" max="4" width="17.85546875" customWidth="1"/>
    <col min="5" max="5" width="18.5703125" customWidth="1"/>
  </cols>
  <sheetData>
    <row r="1" spans="1:5" x14ac:dyDescent="0.25">
      <c r="A1" s="86" t="s">
        <v>40</v>
      </c>
      <c r="B1" s="86"/>
      <c r="C1" s="86"/>
      <c r="D1" s="86"/>
      <c r="E1" s="86"/>
    </row>
    <row r="3" spans="1:5" ht="30" x14ac:dyDescent="0.25">
      <c r="A3" s="116" t="s">
        <v>41</v>
      </c>
      <c r="B3" s="117"/>
      <c r="C3" s="22" t="s">
        <v>42</v>
      </c>
      <c r="D3" s="22" t="s">
        <v>193</v>
      </c>
      <c r="E3" s="22" t="s">
        <v>43</v>
      </c>
    </row>
    <row r="4" spans="1:5" x14ac:dyDescent="0.25">
      <c r="A4" s="118" t="s">
        <v>44</v>
      </c>
      <c r="B4" s="119"/>
      <c r="C4" s="23">
        <v>8</v>
      </c>
      <c r="D4" s="23">
        <v>8</v>
      </c>
      <c r="E4" s="23">
        <v>8</v>
      </c>
    </row>
    <row r="5" spans="1:5" x14ac:dyDescent="0.25">
      <c r="A5" s="120" t="s">
        <v>45</v>
      </c>
      <c r="B5" s="121"/>
      <c r="C5" s="24">
        <f>75071*1.2</f>
        <v>90085.2</v>
      </c>
      <c r="D5" s="24">
        <f>79757*1.2</f>
        <v>95708.4</v>
      </c>
      <c r="E5" s="24">
        <f>105574*1.2</f>
        <v>126688.79999999999</v>
      </c>
    </row>
    <row r="6" spans="1:5" x14ac:dyDescent="0.25">
      <c r="A6" s="122" t="s">
        <v>46</v>
      </c>
      <c r="B6" s="123"/>
      <c r="C6" s="124">
        <f>C5+D5+E5</f>
        <v>312482.39999999997</v>
      </c>
      <c r="D6" s="125"/>
      <c r="E6" s="123"/>
    </row>
    <row r="8" spans="1:5" x14ac:dyDescent="0.25">
      <c r="C8" s="25"/>
      <c r="D8" s="25"/>
      <c r="E8" s="25"/>
    </row>
    <row r="9" spans="1:5" x14ac:dyDescent="0.25">
      <c r="A9" s="26"/>
      <c r="C9" s="25"/>
    </row>
    <row r="10" spans="1:5" x14ac:dyDescent="0.25">
      <c r="C10" s="25"/>
    </row>
  </sheetData>
  <mergeCells count="6">
    <mergeCell ref="A1:E1"/>
    <mergeCell ref="A3:B3"/>
    <mergeCell ref="A4:B4"/>
    <mergeCell ref="A5:B5"/>
    <mergeCell ref="A6:B6"/>
    <mergeCell ref="C6:E6"/>
  </mergeCells>
  <pageMargins left="0.70866141732283472" right="0.70866141732283472" top="1.7322834645669292" bottom="0.74803149606299213" header="0.31496062992125984" footer="0.31496062992125984"/>
  <pageSetup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1"/>
  <sheetViews>
    <sheetView zoomScale="80" zoomScaleNormal="80" workbookViewId="0">
      <pane ySplit="5" topLeftCell="A6" activePane="bottomLeft" state="frozen"/>
      <selection activeCell="B61" sqref="B61:Q61"/>
      <selection pane="bottomLeft" activeCell="E11" sqref="E11"/>
    </sheetView>
  </sheetViews>
  <sheetFormatPr baseColWidth="10" defaultColWidth="20" defaultRowHeight="15" x14ac:dyDescent="0.25"/>
  <cols>
    <col min="1" max="1" width="26.85546875" style="27" customWidth="1"/>
    <col min="2" max="2" width="59.85546875" style="27" customWidth="1"/>
    <col min="3" max="16384" width="20" style="27"/>
  </cols>
  <sheetData>
    <row r="1" spans="1:5" ht="15" customHeight="1" x14ac:dyDescent="0.25">
      <c r="E1" s="28">
        <v>4.8049999999999997</v>
      </c>
    </row>
    <row r="2" spans="1:5" ht="15" customHeight="1" x14ac:dyDescent="0.25">
      <c r="E2" s="29"/>
    </row>
    <row r="3" spans="1:5" ht="15" customHeight="1" x14ac:dyDescent="0.3">
      <c r="A3" s="129" t="s">
        <v>192</v>
      </c>
      <c r="B3" s="129"/>
      <c r="C3" s="129"/>
      <c r="D3" s="129"/>
      <c r="E3" s="129"/>
    </row>
    <row r="4" spans="1:5" ht="15" customHeight="1" x14ac:dyDescent="0.25">
      <c r="E4" s="29"/>
    </row>
    <row r="5" spans="1:5" ht="28.5" customHeight="1" x14ac:dyDescent="0.25">
      <c r="A5" s="30" t="s">
        <v>41</v>
      </c>
      <c r="B5" s="30" t="s">
        <v>47</v>
      </c>
      <c r="C5" s="30" t="s">
        <v>48</v>
      </c>
      <c r="D5" s="30" t="s">
        <v>188</v>
      </c>
      <c r="E5" s="30" t="s">
        <v>189</v>
      </c>
    </row>
    <row r="6" spans="1:5" s="31" customFormat="1" ht="25.5" x14ac:dyDescent="0.25">
      <c r="A6" s="32" t="s">
        <v>141</v>
      </c>
      <c r="B6" s="33" t="s">
        <v>49</v>
      </c>
      <c r="C6" s="32">
        <v>1</v>
      </c>
      <c r="D6" s="34"/>
      <c r="E6" s="34">
        <f>+C6*D6</f>
        <v>0</v>
      </c>
    </row>
    <row r="7" spans="1:5" s="31" customFormat="1" ht="38.25" x14ac:dyDescent="0.25">
      <c r="A7" s="32" t="s">
        <v>50</v>
      </c>
      <c r="B7" s="33" t="s">
        <v>51</v>
      </c>
      <c r="C7" s="32">
        <v>5</v>
      </c>
      <c r="D7" s="34"/>
      <c r="E7" s="34">
        <f t="shared" ref="E7:E38" si="0">+C7*D7</f>
        <v>0</v>
      </c>
    </row>
    <row r="8" spans="1:5" s="31" customFormat="1" ht="76.5" x14ac:dyDescent="0.25">
      <c r="A8" s="32" t="s">
        <v>52</v>
      </c>
      <c r="B8" s="33" t="s">
        <v>53</v>
      </c>
      <c r="C8" s="32">
        <v>1</v>
      </c>
      <c r="D8" s="34"/>
      <c r="E8" s="34">
        <f t="shared" si="0"/>
        <v>0</v>
      </c>
    </row>
    <row r="9" spans="1:5" s="31" customFormat="1" ht="63.75" x14ac:dyDescent="0.25">
      <c r="A9" s="32" t="s">
        <v>54</v>
      </c>
      <c r="B9" s="33" t="s">
        <v>55</v>
      </c>
      <c r="C9" s="32">
        <v>3</v>
      </c>
      <c r="D9" s="34"/>
      <c r="E9" s="34">
        <f t="shared" si="0"/>
        <v>0</v>
      </c>
    </row>
    <row r="10" spans="1:5" ht="51" x14ac:dyDescent="0.25">
      <c r="A10" s="32" t="s">
        <v>56</v>
      </c>
      <c r="B10" s="33" t="s">
        <v>142</v>
      </c>
      <c r="C10" s="32">
        <v>4</v>
      </c>
      <c r="D10" s="34"/>
      <c r="E10" s="34">
        <f t="shared" si="0"/>
        <v>0</v>
      </c>
    </row>
    <row r="11" spans="1:5" ht="89.25" x14ac:dyDescent="0.25">
      <c r="A11" s="32" t="s">
        <v>143</v>
      </c>
      <c r="B11" s="33" t="s">
        <v>144</v>
      </c>
      <c r="C11" s="32">
        <v>2</v>
      </c>
      <c r="D11" s="34"/>
      <c r="E11" s="34">
        <f t="shared" si="0"/>
        <v>0</v>
      </c>
    </row>
    <row r="12" spans="1:5" x14ac:dyDescent="0.25">
      <c r="A12" s="32" t="s">
        <v>57</v>
      </c>
      <c r="B12" s="33" t="s">
        <v>58</v>
      </c>
      <c r="C12" s="32">
        <v>4</v>
      </c>
      <c r="D12" s="34"/>
      <c r="E12" s="34">
        <f t="shared" si="0"/>
        <v>0</v>
      </c>
    </row>
    <row r="13" spans="1:5" x14ac:dyDescent="0.25">
      <c r="A13" s="32" t="s">
        <v>59</v>
      </c>
      <c r="B13" s="35" t="s">
        <v>60</v>
      </c>
      <c r="C13" s="32">
        <v>4</v>
      </c>
      <c r="D13" s="34"/>
      <c r="E13" s="34">
        <f t="shared" si="0"/>
        <v>0</v>
      </c>
    </row>
    <row r="14" spans="1:5" x14ac:dyDescent="0.25">
      <c r="A14" s="32" t="s">
        <v>61</v>
      </c>
      <c r="B14" s="33" t="s">
        <v>62</v>
      </c>
      <c r="C14" s="32">
        <v>4</v>
      </c>
      <c r="D14" s="34"/>
      <c r="E14" s="34">
        <f t="shared" si="0"/>
        <v>0</v>
      </c>
    </row>
    <row r="15" spans="1:5" ht="89.25" x14ac:dyDescent="0.25">
      <c r="A15" s="32" t="s">
        <v>63</v>
      </c>
      <c r="B15" s="33" t="s">
        <v>64</v>
      </c>
      <c r="C15" s="32">
        <v>13</v>
      </c>
      <c r="D15" s="34"/>
      <c r="E15" s="34">
        <f t="shared" si="0"/>
        <v>0</v>
      </c>
    </row>
    <row r="16" spans="1:5" ht="25.5" x14ac:dyDescent="0.25">
      <c r="A16" s="32" t="s">
        <v>65</v>
      </c>
      <c r="B16" s="33" t="s">
        <v>145</v>
      </c>
      <c r="C16" s="32">
        <v>20</v>
      </c>
      <c r="D16" s="34"/>
      <c r="E16" s="34">
        <f t="shared" si="0"/>
        <v>0</v>
      </c>
    </row>
    <row r="17" spans="1:5" ht="25.5" x14ac:dyDescent="0.25">
      <c r="A17" s="32" t="s">
        <v>66</v>
      </c>
      <c r="B17" s="36" t="s">
        <v>146</v>
      </c>
      <c r="C17" s="32">
        <v>1</v>
      </c>
      <c r="D17" s="34"/>
      <c r="E17" s="34">
        <f t="shared" si="0"/>
        <v>0</v>
      </c>
    </row>
    <row r="18" spans="1:5" x14ac:dyDescent="0.25">
      <c r="A18" s="32" t="s">
        <v>67</v>
      </c>
      <c r="B18" s="33"/>
      <c r="C18" s="32">
        <v>11</v>
      </c>
      <c r="D18" s="34"/>
      <c r="E18" s="34">
        <f t="shared" si="0"/>
        <v>0</v>
      </c>
    </row>
    <row r="19" spans="1:5" ht="25.5" customHeight="1" x14ac:dyDescent="0.25">
      <c r="A19" s="32" t="s">
        <v>68</v>
      </c>
      <c r="B19" s="33" t="s">
        <v>147</v>
      </c>
      <c r="C19" s="32">
        <v>11</v>
      </c>
      <c r="D19" s="34"/>
      <c r="E19" s="34">
        <f t="shared" si="0"/>
        <v>0</v>
      </c>
    </row>
    <row r="20" spans="1:5" x14ac:dyDescent="0.25">
      <c r="A20" s="32" t="s">
        <v>69</v>
      </c>
      <c r="B20" s="33" t="s">
        <v>70</v>
      </c>
      <c r="C20" s="32">
        <v>4</v>
      </c>
      <c r="D20" s="34"/>
      <c r="E20" s="34">
        <f t="shared" si="0"/>
        <v>0</v>
      </c>
    </row>
    <row r="21" spans="1:5" x14ac:dyDescent="0.25">
      <c r="A21" s="32" t="s">
        <v>71</v>
      </c>
      <c r="B21" s="33" t="s">
        <v>148</v>
      </c>
      <c r="C21" s="32">
        <v>4</v>
      </c>
      <c r="D21" s="34"/>
      <c r="E21" s="34">
        <f t="shared" si="0"/>
        <v>0</v>
      </c>
    </row>
    <row r="22" spans="1:5" x14ac:dyDescent="0.25">
      <c r="A22" s="32" t="s">
        <v>72</v>
      </c>
      <c r="B22" s="33" t="s">
        <v>149</v>
      </c>
      <c r="C22" s="32">
        <v>2</v>
      </c>
      <c r="D22" s="34"/>
      <c r="E22" s="34">
        <f t="shared" si="0"/>
        <v>0</v>
      </c>
    </row>
    <row r="23" spans="1:5" ht="25.5" x14ac:dyDescent="0.25">
      <c r="A23" s="32" t="s">
        <v>73</v>
      </c>
      <c r="B23" s="33" t="s">
        <v>150</v>
      </c>
      <c r="C23" s="32">
        <v>80</v>
      </c>
      <c r="D23" s="34"/>
      <c r="E23" s="34">
        <f t="shared" si="0"/>
        <v>0</v>
      </c>
    </row>
    <row r="24" spans="1:5" ht="25.5" x14ac:dyDescent="0.25">
      <c r="A24" s="32" t="s">
        <v>74</v>
      </c>
      <c r="B24" s="33" t="s">
        <v>151</v>
      </c>
      <c r="C24" s="32">
        <v>20</v>
      </c>
      <c r="D24" s="34"/>
      <c r="E24" s="34">
        <f t="shared" si="0"/>
        <v>0</v>
      </c>
    </row>
    <row r="25" spans="1:5" ht="25.5" x14ac:dyDescent="0.25">
      <c r="A25" s="32" t="s">
        <v>74</v>
      </c>
      <c r="B25" s="33" t="s">
        <v>152</v>
      </c>
      <c r="C25" s="32">
        <v>4</v>
      </c>
      <c r="D25" s="34"/>
      <c r="E25" s="34">
        <f t="shared" si="0"/>
        <v>0</v>
      </c>
    </row>
    <row r="26" spans="1:5" x14ac:dyDescent="0.25">
      <c r="A26" s="32" t="s">
        <v>75</v>
      </c>
      <c r="B26" s="33" t="s">
        <v>76</v>
      </c>
      <c r="C26" s="32">
        <v>2</v>
      </c>
      <c r="D26" s="34"/>
      <c r="E26" s="34">
        <f t="shared" si="0"/>
        <v>0</v>
      </c>
    </row>
    <row r="27" spans="1:5" x14ac:dyDescent="0.25">
      <c r="A27" s="32" t="s">
        <v>77</v>
      </c>
      <c r="B27" s="33" t="s">
        <v>153</v>
      </c>
      <c r="C27" s="32">
        <v>35</v>
      </c>
      <c r="D27" s="34"/>
      <c r="E27" s="34">
        <f t="shared" si="0"/>
        <v>0</v>
      </c>
    </row>
    <row r="28" spans="1:5" x14ac:dyDescent="0.25">
      <c r="A28" s="32" t="s">
        <v>78</v>
      </c>
      <c r="B28" s="33" t="s">
        <v>154</v>
      </c>
      <c r="C28" s="32">
        <v>80</v>
      </c>
      <c r="D28" s="34"/>
      <c r="E28" s="34">
        <f t="shared" si="0"/>
        <v>0</v>
      </c>
    </row>
    <row r="29" spans="1:5" x14ac:dyDescent="0.25">
      <c r="A29" s="32" t="s">
        <v>78</v>
      </c>
      <c r="B29" s="33" t="s">
        <v>155</v>
      </c>
      <c r="C29" s="32">
        <v>40</v>
      </c>
      <c r="D29" s="34"/>
      <c r="E29" s="34">
        <f t="shared" si="0"/>
        <v>0</v>
      </c>
    </row>
    <row r="30" spans="1:5" ht="25.5" x14ac:dyDescent="0.25">
      <c r="A30" s="32" t="s">
        <v>79</v>
      </c>
      <c r="B30" s="33" t="s">
        <v>80</v>
      </c>
      <c r="C30" s="32">
        <v>10</v>
      </c>
      <c r="D30" s="34"/>
      <c r="E30" s="34">
        <f t="shared" si="0"/>
        <v>0</v>
      </c>
    </row>
    <row r="31" spans="1:5" ht="25.5" x14ac:dyDescent="0.25">
      <c r="A31" s="32" t="s">
        <v>156</v>
      </c>
      <c r="B31" s="33"/>
      <c r="C31" s="32">
        <v>21</v>
      </c>
      <c r="D31" s="34"/>
      <c r="E31" s="34">
        <f>(C31*D31)</f>
        <v>0</v>
      </c>
    </row>
    <row r="32" spans="1:5" ht="36" customHeight="1" x14ac:dyDescent="0.25">
      <c r="A32" s="32" t="s">
        <v>157</v>
      </c>
      <c r="B32" s="33" t="s">
        <v>158</v>
      </c>
      <c r="C32" s="32">
        <v>21</v>
      </c>
      <c r="D32" s="34"/>
      <c r="E32" s="34">
        <f t="shared" ref="E32:E34" si="1">(C32*D32)*1.19</f>
        <v>0</v>
      </c>
    </row>
    <row r="33" spans="1:5" ht="36" customHeight="1" x14ac:dyDescent="0.25">
      <c r="A33" s="32" t="s">
        <v>159</v>
      </c>
      <c r="B33" s="33" t="s">
        <v>160</v>
      </c>
      <c r="C33" s="32">
        <v>21</v>
      </c>
      <c r="D33" s="34"/>
      <c r="E33" s="34">
        <f t="shared" si="1"/>
        <v>0</v>
      </c>
    </row>
    <row r="34" spans="1:5" ht="25.5" x14ac:dyDescent="0.25">
      <c r="A34" s="32" t="s">
        <v>161</v>
      </c>
      <c r="B34" s="33" t="s">
        <v>162</v>
      </c>
      <c r="C34" s="32">
        <v>21</v>
      </c>
      <c r="D34" s="34"/>
      <c r="E34" s="34">
        <f t="shared" si="1"/>
        <v>0</v>
      </c>
    </row>
    <row r="35" spans="1:5" ht="38.25" x14ac:dyDescent="0.25">
      <c r="A35" s="32" t="s">
        <v>81</v>
      </c>
      <c r="B35" s="33" t="s">
        <v>163</v>
      </c>
      <c r="C35" s="32">
        <v>10</v>
      </c>
      <c r="D35" s="34"/>
      <c r="E35" s="34">
        <f>+C35*D35</f>
        <v>0</v>
      </c>
    </row>
    <row r="36" spans="1:5" ht="38.25" x14ac:dyDescent="0.25">
      <c r="A36" s="32" t="s">
        <v>164</v>
      </c>
      <c r="B36" s="33" t="s">
        <v>165</v>
      </c>
      <c r="C36" s="32">
        <v>21</v>
      </c>
      <c r="D36" s="34"/>
      <c r="E36" s="34">
        <f t="shared" si="0"/>
        <v>0</v>
      </c>
    </row>
    <row r="37" spans="1:5" ht="38.25" x14ac:dyDescent="0.25">
      <c r="A37" s="32" t="s">
        <v>82</v>
      </c>
      <c r="B37" s="33" t="s">
        <v>166</v>
      </c>
      <c r="C37" s="32">
        <v>21</v>
      </c>
      <c r="D37" s="34"/>
      <c r="E37" s="34">
        <f t="shared" si="0"/>
        <v>0</v>
      </c>
    </row>
    <row r="38" spans="1:5" ht="25.5" x14ac:dyDescent="0.25">
      <c r="A38" s="32" t="s">
        <v>167</v>
      </c>
      <c r="B38" s="33" t="s">
        <v>168</v>
      </c>
      <c r="C38" s="32">
        <v>1</v>
      </c>
      <c r="D38" s="34"/>
      <c r="E38" s="34">
        <f t="shared" si="0"/>
        <v>0</v>
      </c>
    </row>
    <row r="39" spans="1:5" x14ac:dyDescent="0.25">
      <c r="A39" s="126" t="s">
        <v>83</v>
      </c>
      <c r="B39" s="127"/>
      <c r="C39" s="127"/>
      <c r="D39" s="128"/>
      <c r="E39" s="37">
        <f>SUM(E6:E38)</f>
        <v>0</v>
      </c>
    </row>
    <row r="40" spans="1:5" x14ac:dyDescent="0.25">
      <c r="A40" s="126" t="s">
        <v>84</v>
      </c>
      <c r="B40" s="127"/>
      <c r="C40" s="127"/>
      <c r="D40" s="128"/>
      <c r="E40" s="37">
        <f>E39*0.19</f>
        <v>0</v>
      </c>
    </row>
    <row r="41" spans="1:5" x14ac:dyDescent="0.25">
      <c r="A41" s="126" t="s">
        <v>85</v>
      </c>
      <c r="B41" s="127"/>
      <c r="C41" s="127"/>
      <c r="D41" s="128"/>
      <c r="E41" s="37">
        <f>E39+E40</f>
        <v>0</v>
      </c>
    </row>
  </sheetData>
  <mergeCells count="4">
    <mergeCell ref="A41:D41"/>
    <mergeCell ref="A3:E3"/>
    <mergeCell ref="A39:D39"/>
    <mergeCell ref="A40:D40"/>
  </mergeCells>
  <printOptions horizontalCentered="1"/>
  <pageMargins left="0.70866141732283472" right="0.70866141732283472" top="1.5354330708661419" bottom="1.6141732283464567" header="0.31496062992125984" footer="0.31496062992125984"/>
  <pageSetup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G63"/>
  <sheetViews>
    <sheetView tabSelected="1" topLeftCell="A50" zoomScale="90" zoomScaleNormal="90" workbookViewId="0">
      <selection activeCell="F55" sqref="F55"/>
    </sheetView>
  </sheetViews>
  <sheetFormatPr baseColWidth="10" defaultColWidth="11.5703125" defaultRowHeight="12.75" x14ac:dyDescent="0.25"/>
  <cols>
    <col min="1" max="1" width="38.7109375" style="50" customWidth="1"/>
    <col min="2" max="2" width="6" style="57" bestFit="1" customWidth="1"/>
    <col min="3" max="3" width="15" style="57" bestFit="1" customWidth="1"/>
    <col min="4" max="4" width="15.7109375" style="50" customWidth="1"/>
    <col min="5" max="5" width="19.140625" style="50" customWidth="1"/>
    <col min="6" max="6" width="18.42578125" style="50" customWidth="1"/>
    <col min="7" max="16384" width="11.5703125" style="50"/>
  </cols>
  <sheetData>
    <row r="2" spans="1:6" ht="29.25" customHeight="1" x14ac:dyDescent="0.25">
      <c r="A2" s="130" t="s">
        <v>86</v>
      </c>
      <c r="B2" s="130"/>
      <c r="C2" s="130"/>
      <c r="D2" s="130"/>
      <c r="E2" s="130"/>
      <c r="F2" s="49">
        <v>1.0161</v>
      </c>
    </row>
    <row r="4" spans="1:6" ht="38.25" x14ac:dyDescent="0.25">
      <c r="A4" s="58" t="s">
        <v>87</v>
      </c>
      <c r="B4" s="58" t="s">
        <v>88</v>
      </c>
      <c r="C4" s="58"/>
      <c r="D4" s="58" t="s">
        <v>140</v>
      </c>
      <c r="E4" s="58" t="s">
        <v>85</v>
      </c>
      <c r="F4" s="61" t="s">
        <v>139</v>
      </c>
    </row>
    <row r="5" spans="1:6" ht="25.5" x14ac:dyDescent="0.25">
      <c r="A5" s="59" t="s">
        <v>169</v>
      </c>
      <c r="B5" s="51">
        <v>1</v>
      </c>
      <c r="C5" s="51" t="s">
        <v>190</v>
      </c>
      <c r="D5" s="52">
        <f>+E5/B5</f>
        <v>6400</v>
      </c>
      <c r="E5" s="53">
        <v>6400</v>
      </c>
      <c r="F5" s="60"/>
    </row>
    <row r="6" spans="1:6" x14ac:dyDescent="0.25">
      <c r="A6" s="59" t="s">
        <v>89</v>
      </c>
      <c r="B6" s="51">
        <v>3</v>
      </c>
      <c r="C6" s="51" t="s">
        <v>170</v>
      </c>
      <c r="D6" s="52">
        <f>+E6/B6</f>
        <v>18333.333333333332</v>
      </c>
      <c r="E6" s="53">
        <v>55000</v>
      </c>
      <c r="F6" s="60"/>
    </row>
    <row r="7" spans="1:6" x14ac:dyDescent="0.25">
      <c r="A7" s="59" t="s">
        <v>171</v>
      </c>
      <c r="B7" s="51">
        <v>2</v>
      </c>
      <c r="C7" s="51" t="s">
        <v>172</v>
      </c>
      <c r="D7" s="52">
        <f t="shared" ref="D7:D15" si="0">+E7/B7</f>
        <v>5750</v>
      </c>
      <c r="E7" s="53">
        <v>11500</v>
      </c>
      <c r="F7" s="60"/>
    </row>
    <row r="8" spans="1:6" x14ac:dyDescent="0.25">
      <c r="A8" s="59" t="s">
        <v>173</v>
      </c>
      <c r="B8" s="51">
        <v>2</v>
      </c>
      <c r="C8" s="51" t="s">
        <v>172</v>
      </c>
      <c r="D8" s="52">
        <v>74790</v>
      </c>
      <c r="E8" s="53">
        <f>+B8*D8</f>
        <v>149580</v>
      </c>
      <c r="F8" s="60"/>
    </row>
    <row r="9" spans="1:6" x14ac:dyDescent="0.25">
      <c r="A9" s="59" t="s">
        <v>90</v>
      </c>
      <c r="B9" s="51">
        <v>1</v>
      </c>
      <c r="C9" s="51" t="s">
        <v>194</v>
      </c>
      <c r="D9" s="52">
        <v>38000</v>
      </c>
      <c r="E9" s="53">
        <f>+B9*D9</f>
        <v>38000</v>
      </c>
      <c r="F9" s="60"/>
    </row>
    <row r="10" spans="1:6" x14ac:dyDescent="0.25">
      <c r="A10" s="59" t="s">
        <v>91</v>
      </c>
      <c r="B10" s="51">
        <v>20</v>
      </c>
      <c r="C10" s="51" t="s">
        <v>170</v>
      </c>
      <c r="D10" s="52">
        <f t="shared" si="0"/>
        <v>605</v>
      </c>
      <c r="E10" s="53">
        <v>12100</v>
      </c>
      <c r="F10" s="60"/>
    </row>
    <row r="11" spans="1:6" x14ac:dyDescent="0.25">
      <c r="A11" s="59" t="s">
        <v>92</v>
      </c>
      <c r="B11" s="51">
        <v>20</v>
      </c>
      <c r="C11" s="51" t="s">
        <v>170</v>
      </c>
      <c r="D11" s="52">
        <f t="shared" si="0"/>
        <v>500</v>
      </c>
      <c r="E11" s="53">
        <v>10000</v>
      </c>
      <c r="F11" s="60"/>
    </row>
    <row r="12" spans="1:6" ht="25.5" x14ac:dyDescent="0.25">
      <c r="A12" s="59" t="s">
        <v>93</v>
      </c>
      <c r="B12" s="51">
        <v>30</v>
      </c>
      <c r="C12" s="51" t="s">
        <v>170</v>
      </c>
      <c r="D12" s="52">
        <f t="shared" si="0"/>
        <v>50</v>
      </c>
      <c r="E12" s="53">
        <v>1500</v>
      </c>
      <c r="F12" s="60"/>
    </row>
    <row r="13" spans="1:6" x14ac:dyDescent="0.25">
      <c r="A13" s="59" t="s">
        <v>94</v>
      </c>
      <c r="B13" s="51">
        <v>15</v>
      </c>
      <c r="C13" s="51" t="s">
        <v>170</v>
      </c>
      <c r="D13" s="52">
        <f t="shared" si="0"/>
        <v>500</v>
      </c>
      <c r="E13" s="53">
        <v>7500</v>
      </c>
      <c r="F13" s="60"/>
    </row>
    <row r="14" spans="1:6" ht="25.5" x14ac:dyDescent="0.25">
      <c r="A14" s="59" t="s">
        <v>135</v>
      </c>
      <c r="B14" s="51">
        <v>40</v>
      </c>
      <c r="C14" s="51" t="s">
        <v>174</v>
      </c>
      <c r="D14" s="52">
        <f t="shared" si="0"/>
        <v>467.5</v>
      </c>
      <c r="E14" s="53">
        <v>18700</v>
      </c>
      <c r="F14" s="60"/>
    </row>
    <row r="15" spans="1:6" ht="25.5" x14ac:dyDescent="0.25">
      <c r="A15" s="59" t="s">
        <v>136</v>
      </c>
      <c r="B15" s="51">
        <v>40</v>
      </c>
      <c r="C15" s="51" t="s">
        <v>174</v>
      </c>
      <c r="D15" s="52">
        <f t="shared" si="0"/>
        <v>915</v>
      </c>
      <c r="E15" s="53">
        <v>36600</v>
      </c>
      <c r="F15" s="60"/>
    </row>
    <row r="16" spans="1:6" ht="25.5" x14ac:dyDescent="0.25">
      <c r="A16" s="59" t="s">
        <v>95</v>
      </c>
      <c r="B16" s="51">
        <v>40</v>
      </c>
      <c r="C16" s="51" t="s">
        <v>174</v>
      </c>
      <c r="D16" s="52">
        <f t="shared" ref="D16:D60" si="1">+E16/B16</f>
        <v>65</v>
      </c>
      <c r="E16" s="53">
        <v>2600</v>
      </c>
      <c r="F16" s="60"/>
    </row>
    <row r="17" spans="1:6" ht="25.5" x14ac:dyDescent="0.25">
      <c r="A17" s="59" t="s">
        <v>138</v>
      </c>
      <c r="B17" s="51">
        <v>40</v>
      </c>
      <c r="C17" s="51" t="s">
        <v>174</v>
      </c>
      <c r="D17" s="52">
        <f t="shared" si="1"/>
        <v>307.5</v>
      </c>
      <c r="E17" s="53">
        <v>12300</v>
      </c>
      <c r="F17" s="60"/>
    </row>
    <row r="18" spans="1:6" ht="25.5" x14ac:dyDescent="0.25">
      <c r="A18" s="59" t="s">
        <v>124</v>
      </c>
      <c r="B18" s="51">
        <v>1</v>
      </c>
      <c r="C18" s="51" t="s">
        <v>190</v>
      </c>
      <c r="D18" s="52">
        <f t="shared" si="1"/>
        <v>17283.333333333332</v>
      </c>
      <c r="E18" s="53">
        <v>17283.333333333332</v>
      </c>
      <c r="F18" s="60"/>
    </row>
    <row r="19" spans="1:6" ht="25.5" x14ac:dyDescent="0.25">
      <c r="A19" s="59" t="s">
        <v>96</v>
      </c>
      <c r="B19" s="51">
        <v>1</v>
      </c>
      <c r="C19" s="51" t="s">
        <v>191</v>
      </c>
      <c r="D19" s="52">
        <f t="shared" si="1"/>
        <v>103050</v>
      </c>
      <c r="E19" s="53">
        <v>103050</v>
      </c>
      <c r="F19" s="60"/>
    </row>
    <row r="20" spans="1:6" ht="30" customHeight="1" x14ac:dyDescent="0.25">
      <c r="A20" s="59" t="s">
        <v>97</v>
      </c>
      <c r="B20" s="51">
        <v>40</v>
      </c>
      <c r="C20" s="51" t="s">
        <v>174</v>
      </c>
      <c r="D20" s="52">
        <f t="shared" si="1"/>
        <v>240</v>
      </c>
      <c r="E20" s="53">
        <v>9600</v>
      </c>
      <c r="F20" s="60"/>
    </row>
    <row r="21" spans="1:6" ht="24" customHeight="1" x14ac:dyDescent="0.25">
      <c r="A21" s="59" t="s">
        <v>137</v>
      </c>
      <c r="B21" s="51">
        <v>40</v>
      </c>
      <c r="C21" s="51" t="s">
        <v>174</v>
      </c>
      <c r="D21" s="52">
        <f t="shared" si="1"/>
        <v>36788.337500000001</v>
      </c>
      <c r="E21" s="53">
        <v>1471533.5</v>
      </c>
      <c r="F21" s="60"/>
    </row>
    <row r="22" spans="1:6" ht="24" customHeight="1" x14ac:dyDescent="0.25">
      <c r="A22" s="59" t="s">
        <v>125</v>
      </c>
      <c r="B22" s="51">
        <v>1</v>
      </c>
      <c r="C22" s="51" t="s">
        <v>175</v>
      </c>
      <c r="D22" s="52">
        <f t="shared" si="1"/>
        <v>10166.666666666666</v>
      </c>
      <c r="E22" s="53">
        <v>10166.666666666666</v>
      </c>
      <c r="F22" s="60"/>
    </row>
    <row r="23" spans="1:6" x14ac:dyDescent="0.25">
      <c r="A23" s="59" t="s">
        <v>98</v>
      </c>
      <c r="B23" s="51">
        <v>10</v>
      </c>
      <c r="C23" s="51" t="s">
        <v>170</v>
      </c>
      <c r="D23" s="52">
        <f t="shared" si="1"/>
        <v>300</v>
      </c>
      <c r="E23" s="53">
        <v>3000</v>
      </c>
      <c r="F23" s="60"/>
    </row>
    <row r="24" spans="1:6" x14ac:dyDescent="0.25">
      <c r="A24" s="59" t="s">
        <v>99</v>
      </c>
      <c r="B24" s="51">
        <v>10</v>
      </c>
      <c r="C24" s="51" t="s">
        <v>170</v>
      </c>
      <c r="D24" s="52">
        <f t="shared" si="1"/>
        <v>230</v>
      </c>
      <c r="E24" s="53">
        <v>2300</v>
      </c>
      <c r="F24" s="60"/>
    </row>
    <row r="25" spans="1:6" ht="25.5" x14ac:dyDescent="0.25">
      <c r="A25" s="59" t="s">
        <v>100</v>
      </c>
      <c r="B25" s="51">
        <v>5</v>
      </c>
      <c r="C25" s="51" t="s">
        <v>170</v>
      </c>
      <c r="D25" s="52">
        <f t="shared" si="1"/>
        <v>4060</v>
      </c>
      <c r="E25" s="53">
        <v>20300</v>
      </c>
      <c r="F25" s="60"/>
    </row>
    <row r="26" spans="1:6" ht="25.5" x14ac:dyDescent="0.25">
      <c r="A26" s="59" t="s">
        <v>101</v>
      </c>
      <c r="B26" s="51">
        <v>3</v>
      </c>
      <c r="C26" s="51" t="s">
        <v>172</v>
      </c>
      <c r="D26" s="52">
        <f t="shared" si="1"/>
        <v>14700</v>
      </c>
      <c r="E26" s="53">
        <v>44100</v>
      </c>
      <c r="F26" s="60"/>
    </row>
    <row r="27" spans="1:6" x14ac:dyDescent="0.25">
      <c r="A27" s="59" t="s">
        <v>176</v>
      </c>
      <c r="B27" s="51">
        <v>2</v>
      </c>
      <c r="C27" s="51" t="s">
        <v>172</v>
      </c>
      <c r="D27" s="52">
        <v>4800</v>
      </c>
      <c r="E27" s="53">
        <f>+B27*D27</f>
        <v>9600</v>
      </c>
      <c r="F27" s="60"/>
    </row>
    <row r="28" spans="1:6" x14ac:dyDescent="0.25">
      <c r="A28" s="59" t="s">
        <v>102</v>
      </c>
      <c r="B28" s="51">
        <v>3</v>
      </c>
      <c r="C28" s="51" t="s">
        <v>172</v>
      </c>
      <c r="D28" s="52">
        <f t="shared" si="1"/>
        <v>9900</v>
      </c>
      <c r="E28" s="53">
        <v>29700</v>
      </c>
      <c r="F28" s="60"/>
    </row>
    <row r="29" spans="1:6" ht="25.5" x14ac:dyDescent="0.25">
      <c r="A29" s="59" t="s">
        <v>103</v>
      </c>
      <c r="B29" s="51">
        <v>2</v>
      </c>
      <c r="C29" s="51" t="s">
        <v>172</v>
      </c>
      <c r="D29" s="52">
        <f t="shared" si="1"/>
        <v>248000</v>
      </c>
      <c r="E29" s="53">
        <v>496000</v>
      </c>
      <c r="F29" s="60"/>
    </row>
    <row r="30" spans="1:6" x14ac:dyDescent="0.25">
      <c r="A30" s="59" t="s">
        <v>104</v>
      </c>
      <c r="B30" s="51">
        <v>10</v>
      </c>
      <c r="C30" s="51" t="s">
        <v>170</v>
      </c>
      <c r="D30" s="52">
        <f t="shared" si="1"/>
        <v>300</v>
      </c>
      <c r="E30" s="53">
        <v>3000</v>
      </c>
      <c r="F30" s="60"/>
    </row>
    <row r="31" spans="1:6" x14ac:dyDescent="0.25">
      <c r="A31" s="59" t="s">
        <v>105</v>
      </c>
      <c r="B31" s="51">
        <v>20</v>
      </c>
      <c r="C31" s="51" t="s">
        <v>170</v>
      </c>
      <c r="D31" s="52">
        <f t="shared" si="1"/>
        <v>265</v>
      </c>
      <c r="E31" s="53">
        <v>5300</v>
      </c>
      <c r="F31" s="60"/>
    </row>
    <row r="32" spans="1:6" x14ac:dyDescent="0.25">
      <c r="A32" s="59" t="s">
        <v>106</v>
      </c>
      <c r="B32" s="51">
        <v>20</v>
      </c>
      <c r="C32" s="51" t="s">
        <v>170</v>
      </c>
      <c r="D32" s="52">
        <f t="shared" si="1"/>
        <v>265</v>
      </c>
      <c r="E32" s="53">
        <v>5300</v>
      </c>
      <c r="F32" s="60"/>
    </row>
    <row r="33" spans="1:6" x14ac:dyDescent="0.25">
      <c r="A33" s="59" t="s">
        <v>177</v>
      </c>
      <c r="B33" s="51">
        <v>10</v>
      </c>
      <c r="C33" s="51" t="s">
        <v>170</v>
      </c>
      <c r="D33" s="52">
        <f t="shared" si="1"/>
        <v>520</v>
      </c>
      <c r="E33" s="53">
        <v>5200</v>
      </c>
      <c r="F33" s="60"/>
    </row>
    <row r="34" spans="1:6" ht="25.5" x14ac:dyDescent="0.25">
      <c r="A34" s="59" t="s">
        <v>107</v>
      </c>
      <c r="B34" s="51">
        <v>2</v>
      </c>
      <c r="C34" s="51" t="s">
        <v>178</v>
      </c>
      <c r="D34" s="52">
        <f t="shared" si="1"/>
        <v>5300</v>
      </c>
      <c r="E34" s="53">
        <v>10600</v>
      </c>
      <c r="F34" s="60"/>
    </row>
    <row r="35" spans="1:6" x14ac:dyDescent="0.25">
      <c r="A35" s="59" t="s">
        <v>108</v>
      </c>
      <c r="B35" s="51">
        <v>4</v>
      </c>
      <c r="C35" s="51" t="s">
        <v>172</v>
      </c>
      <c r="D35" s="52">
        <v>43820</v>
      </c>
      <c r="E35" s="53">
        <f>+B35*D35</f>
        <v>175280</v>
      </c>
      <c r="F35" s="60"/>
    </row>
    <row r="36" spans="1:6" x14ac:dyDescent="0.25">
      <c r="A36" s="59" t="s">
        <v>130</v>
      </c>
      <c r="B36" s="51">
        <v>1</v>
      </c>
      <c r="C36" s="51" t="s">
        <v>194</v>
      </c>
      <c r="D36" s="52">
        <f t="shared" si="1"/>
        <v>39600</v>
      </c>
      <c r="E36" s="53">
        <v>39600</v>
      </c>
      <c r="F36" s="60"/>
    </row>
    <row r="37" spans="1:6" x14ac:dyDescent="0.25">
      <c r="A37" s="59" t="s">
        <v>179</v>
      </c>
      <c r="B37" s="51">
        <v>15</v>
      </c>
      <c r="C37" s="51" t="s">
        <v>170</v>
      </c>
      <c r="D37" s="52">
        <v>25000</v>
      </c>
      <c r="E37" s="53">
        <f>+B37*D37</f>
        <v>375000</v>
      </c>
      <c r="F37" s="60"/>
    </row>
    <row r="38" spans="1:6" ht="25.5" x14ac:dyDescent="0.25">
      <c r="A38" s="59" t="s">
        <v>180</v>
      </c>
      <c r="B38" s="51">
        <v>2</v>
      </c>
      <c r="C38" s="51" t="s">
        <v>172</v>
      </c>
      <c r="D38" s="52">
        <v>0</v>
      </c>
      <c r="E38" s="53">
        <v>0</v>
      </c>
      <c r="F38" s="60"/>
    </row>
    <row r="39" spans="1:6" ht="25.5" x14ac:dyDescent="0.25">
      <c r="A39" s="59" t="s">
        <v>109</v>
      </c>
      <c r="B39" s="51">
        <v>3</v>
      </c>
      <c r="C39" s="51" t="s">
        <v>172</v>
      </c>
      <c r="D39" s="52">
        <f t="shared" si="1"/>
        <v>13300</v>
      </c>
      <c r="E39" s="53">
        <v>39900</v>
      </c>
      <c r="F39" s="60"/>
    </row>
    <row r="40" spans="1:6" ht="25.5" x14ac:dyDescent="0.25">
      <c r="A40" s="59" t="s">
        <v>110</v>
      </c>
      <c r="B40" s="51">
        <v>20</v>
      </c>
      <c r="C40" s="51" t="s">
        <v>170</v>
      </c>
      <c r="D40" s="52">
        <f t="shared" si="1"/>
        <v>200</v>
      </c>
      <c r="E40" s="53">
        <v>4000</v>
      </c>
      <c r="F40" s="60"/>
    </row>
    <row r="41" spans="1:6" x14ac:dyDescent="0.25">
      <c r="A41" s="59" t="s">
        <v>181</v>
      </c>
      <c r="B41" s="51">
        <v>1</v>
      </c>
      <c r="C41" s="51" t="s">
        <v>170</v>
      </c>
      <c r="D41" s="52">
        <f t="shared" si="1"/>
        <v>44100</v>
      </c>
      <c r="E41" s="53">
        <v>44100</v>
      </c>
      <c r="F41" s="60"/>
    </row>
    <row r="42" spans="1:6" ht="25.5" x14ac:dyDescent="0.25">
      <c r="A42" s="59" t="s">
        <v>111</v>
      </c>
      <c r="B42" s="51">
        <v>80</v>
      </c>
      <c r="C42" s="51" t="s">
        <v>170</v>
      </c>
      <c r="D42" s="52">
        <f t="shared" si="1"/>
        <v>948.75</v>
      </c>
      <c r="E42" s="53">
        <v>75900</v>
      </c>
      <c r="F42" s="60"/>
    </row>
    <row r="43" spans="1:6" x14ac:dyDescent="0.25">
      <c r="A43" s="59" t="s">
        <v>112</v>
      </c>
      <c r="B43" s="51">
        <v>20</v>
      </c>
      <c r="C43" s="51" t="s">
        <v>170</v>
      </c>
      <c r="D43" s="52">
        <f t="shared" si="1"/>
        <v>145</v>
      </c>
      <c r="E43" s="53">
        <v>2900</v>
      </c>
      <c r="F43" s="60"/>
    </row>
    <row r="44" spans="1:6" ht="25.5" x14ac:dyDescent="0.25">
      <c r="A44" s="59" t="s">
        <v>113</v>
      </c>
      <c r="B44" s="51">
        <v>5</v>
      </c>
      <c r="C44" s="51" t="s">
        <v>170</v>
      </c>
      <c r="D44" s="52">
        <v>36783.333333333336</v>
      </c>
      <c r="E44" s="53">
        <f>+B44*D44</f>
        <v>183916.66666666669</v>
      </c>
      <c r="F44" s="60"/>
    </row>
    <row r="45" spans="1:6" ht="25.5" x14ac:dyDescent="0.25">
      <c r="A45" s="59" t="s">
        <v>114</v>
      </c>
      <c r="B45" s="51">
        <v>1</v>
      </c>
      <c r="C45" s="51" t="s">
        <v>170</v>
      </c>
      <c r="D45" s="52">
        <f t="shared" si="1"/>
        <v>29700</v>
      </c>
      <c r="E45" s="53">
        <v>29700</v>
      </c>
      <c r="F45" s="60"/>
    </row>
    <row r="46" spans="1:6" x14ac:dyDescent="0.25">
      <c r="A46" s="59" t="s">
        <v>115</v>
      </c>
      <c r="B46" s="51">
        <v>1</v>
      </c>
      <c r="C46" s="51" t="s">
        <v>170</v>
      </c>
      <c r="D46" s="52">
        <v>29500</v>
      </c>
      <c r="E46" s="53">
        <v>29500</v>
      </c>
      <c r="F46" s="60"/>
    </row>
    <row r="47" spans="1:6" x14ac:dyDescent="0.25">
      <c r="A47" s="59" t="s">
        <v>116</v>
      </c>
      <c r="B47" s="51">
        <v>1</v>
      </c>
      <c r="C47" s="51" t="s">
        <v>170</v>
      </c>
      <c r="D47" s="52">
        <f t="shared" si="1"/>
        <v>29600</v>
      </c>
      <c r="E47" s="53">
        <v>29600</v>
      </c>
      <c r="F47" s="60"/>
    </row>
    <row r="48" spans="1:6" ht="36" customHeight="1" x14ac:dyDescent="0.25">
      <c r="A48" s="59" t="s">
        <v>117</v>
      </c>
      <c r="B48" s="51">
        <v>15</v>
      </c>
      <c r="C48" s="51" t="s">
        <v>182</v>
      </c>
      <c r="D48" s="52">
        <v>49990</v>
      </c>
      <c r="E48" s="53">
        <f>+B48*D48</f>
        <v>749850</v>
      </c>
      <c r="F48" s="60"/>
    </row>
    <row r="49" spans="1:7" ht="36" customHeight="1" x14ac:dyDescent="0.25">
      <c r="A49" s="59" t="s">
        <v>131</v>
      </c>
      <c r="B49" s="51">
        <v>1</v>
      </c>
      <c r="C49" s="51" t="s">
        <v>170</v>
      </c>
      <c r="D49" s="52">
        <f t="shared" si="1"/>
        <v>16700</v>
      </c>
      <c r="E49" s="53">
        <v>16700</v>
      </c>
      <c r="F49" s="60"/>
    </row>
    <row r="50" spans="1:7" ht="36" customHeight="1" x14ac:dyDescent="0.25">
      <c r="A50" s="59" t="s">
        <v>118</v>
      </c>
      <c r="B50" s="51">
        <v>15</v>
      </c>
      <c r="C50" s="51" t="s">
        <v>183</v>
      </c>
      <c r="D50" s="52">
        <f t="shared" si="1"/>
        <v>1000</v>
      </c>
      <c r="E50" s="53">
        <v>15000</v>
      </c>
      <c r="F50" s="60"/>
    </row>
    <row r="51" spans="1:7" ht="36" customHeight="1" x14ac:dyDescent="0.25">
      <c r="A51" s="59" t="s">
        <v>119</v>
      </c>
      <c r="B51" s="51">
        <v>160</v>
      </c>
      <c r="C51" s="51" t="s">
        <v>184</v>
      </c>
      <c r="D51" s="52">
        <f t="shared" si="1"/>
        <v>72.5</v>
      </c>
      <c r="E51" s="53">
        <v>11600</v>
      </c>
      <c r="F51" s="60"/>
    </row>
    <row r="52" spans="1:7" ht="36" customHeight="1" x14ac:dyDescent="0.25">
      <c r="A52" s="59" t="s">
        <v>185</v>
      </c>
      <c r="B52" s="51">
        <v>2</v>
      </c>
      <c r="C52" s="51" t="s">
        <v>172</v>
      </c>
      <c r="D52" s="52">
        <f t="shared" si="1"/>
        <v>0</v>
      </c>
      <c r="E52" s="53">
        <v>0</v>
      </c>
      <c r="F52" s="60"/>
    </row>
    <row r="53" spans="1:7" ht="36" customHeight="1" x14ac:dyDescent="0.25">
      <c r="A53" s="59" t="s">
        <v>132</v>
      </c>
      <c r="B53" s="51">
        <v>15</v>
      </c>
      <c r="C53" s="51" t="s">
        <v>170</v>
      </c>
      <c r="D53" s="52">
        <f t="shared" si="1"/>
        <v>220</v>
      </c>
      <c r="E53" s="53">
        <v>3300</v>
      </c>
      <c r="F53" s="60"/>
    </row>
    <row r="54" spans="1:7" ht="36" customHeight="1" x14ac:dyDescent="0.25">
      <c r="A54" s="59" t="s">
        <v>120</v>
      </c>
      <c r="B54" s="51">
        <v>20</v>
      </c>
      <c r="C54" s="51" t="s">
        <v>170</v>
      </c>
      <c r="D54" s="52">
        <f t="shared" si="1"/>
        <v>0</v>
      </c>
      <c r="E54" s="53">
        <v>0</v>
      </c>
      <c r="F54" s="60"/>
    </row>
    <row r="55" spans="1:7" ht="36" customHeight="1" x14ac:dyDescent="0.25">
      <c r="A55" s="59" t="s">
        <v>121</v>
      </c>
      <c r="B55" s="51">
        <v>20</v>
      </c>
      <c r="C55" s="51" t="s">
        <v>183</v>
      </c>
      <c r="D55" s="52">
        <f t="shared" si="1"/>
        <v>0</v>
      </c>
      <c r="E55" s="53">
        <v>0</v>
      </c>
      <c r="F55" s="60"/>
    </row>
    <row r="56" spans="1:7" x14ac:dyDescent="0.25">
      <c r="A56" s="59" t="s">
        <v>186</v>
      </c>
      <c r="B56" s="51">
        <v>1</v>
      </c>
      <c r="C56" s="51" t="s">
        <v>194</v>
      </c>
      <c r="D56" s="52">
        <v>46500</v>
      </c>
      <c r="E56" s="53">
        <v>46500</v>
      </c>
      <c r="F56" s="60"/>
    </row>
    <row r="57" spans="1:7" ht="25.5" x14ac:dyDescent="0.25">
      <c r="A57" s="59" t="s">
        <v>134</v>
      </c>
      <c r="B57" s="51">
        <v>10</v>
      </c>
      <c r="C57" s="51" t="s">
        <v>183</v>
      </c>
      <c r="D57" s="52">
        <f t="shared" si="1"/>
        <v>640</v>
      </c>
      <c r="E57" s="53">
        <v>6400</v>
      </c>
      <c r="F57" s="60"/>
    </row>
    <row r="58" spans="1:7" ht="38.25" x14ac:dyDescent="0.25">
      <c r="A58" s="59" t="s">
        <v>133</v>
      </c>
      <c r="B58" s="51">
        <v>150</v>
      </c>
      <c r="C58" s="51" t="s">
        <v>184</v>
      </c>
      <c r="D58" s="52">
        <f t="shared" si="1"/>
        <v>166.66666666666666</v>
      </c>
      <c r="E58" s="53">
        <v>25000</v>
      </c>
      <c r="F58" s="60"/>
    </row>
    <row r="59" spans="1:7" x14ac:dyDescent="0.25">
      <c r="A59" s="59" t="s">
        <v>122</v>
      </c>
      <c r="B59" s="51">
        <v>20</v>
      </c>
      <c r="C59" s="51" t="s">
        <v>170</v>
      </c>
      <c r="D59" s="52">
        <f t="shared" si="1"/>
        <v>340</v>
      </c>
      <c r="E59" s="53">
        <v>6800</v>
      </c>
      <c r="F59" s="60"/>
    </row>
    <row r="60" spans="1:7" x14ac:dyDescent="0.25">
      <c r="A60" s="59" t="s">
        <v>123</v>
      </c>
      <c r="B60" s="51">
        <v>2</v>
      </c>
      <c r="C60" s="51" t="s">
        <v>187</v>
      </c>
      <c r="D60" s="52">
        <f t="shared" si="1"/>
        <v>7250</v>
      </c>
      <c r="E60" s="53">
        <v>14500</v>
      </c>
      <c r="F60" s="60"/>
    </row>
    <row r="61" spans="1:7" x14ac:dyDescent="0.25">
      <c r="A61" s="131" t="s">
        <v>85</v>
      </c>
      <c r="B61" s="131"/>
      <c r="C61" s="131"/>
      <c r="D61" s="131"/>
      <c r="E61" s="56">
        <f>SUM(E5:E60)</f>
        <v>4532860.166666666</v>
      </c>
      <c r="F61" s="54"/>
      <c r="G61" s="55"/>
    </row>
    <row r="62" spans="1:7" x14ac:dyDescent="0.25">
      <c r="A62" s="131" t="s">
        <v>126</v>
      </c>
      <c r="B62" s="131"/>
      <c r="C62" s="131"/>
      <c r="D62" s="131"/>
      <c r="E62" s="56">
        <f>E61*0.19</f>
        <v>861243.43166666653</v>
      </c>
      <c r="F62" s="54"/>
      <c r="G62" s="54"/>
    </row>
    <row r="63" spans="1:7" x14ac:dyDescent="0.25">
      <c r="A63" s="131" t="s">
        <v>127</v>
      </c>
      <c r="B63" s="131"/>
      <c r="C63" s="131"/>
      <c r="D63" s="131"/>
      <c r="E63" s="56">
        <f>E61+E62</f>
        <v>5394103.5983333327</v>
      </c>
    </row>
  </sheetData>
  <autoFilter ref="A4:G63" xr:uid="{00000000-0001-0000-0300-000000000000}"/>
  <mergeCells count="4">
    <mergeCell ref="A2:E2"/>
    <mergeCell ref="A61:D61"/>
    <mergeCell ref="A62:D62"/>
    <mergeCell ref="A63:D63"/>
  </mergeCells>
  <printOptions horizontalCentered="1"/>
  <pageMargins left="0.70866141732283472" right="0.70866141732283472" top="1.5354330708661419" bottom="1.6141732283464567" header="0.31496062992125984" footer="0.31496062992125984"/>
  <pageSetup scale="9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Formato 4. Personal fijo B</vt:lpstr>
      <vt:lpstr>Fomato 5. Personal Eventual</vt:lpstr>
      <vt:lpstr>Formato 6. Maquinaria</vt:lpstr>
      <vt:lpstr>Formato 7. Suministro Insumos</vt:lpstr>
      <vt:lpstr>'Fomato 5. Personal Eventual'!Área_de_impresión</vt:lpstr>
      <vt:lpstr>'Formato 4. Personal fijo B'!Área_de_impresión</vt:lpstr>
      <vt:lpstr>'Formato 6. Maquinaria'!Área_de_impresión</vt:lpstr>
      <vt:lpstr>'Formato 7. Suministro Insumos'!Área_de_impresión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YASMIN GAVIRIA</dc:creator>
  <cp:lastModifiedBy>Jhon Alexander Rendon Jimenez</cp:lastModifiedBy>
  <dcterms:created xsi:type="dcterms:W3CDTF">2021-01-18T17:53:14Z</dcterms:created>
  <dcterms:modified xsi:type="dcterms:W3CDTF">2022-11-10T00:16:57Z</dcterms:modified>
</cp:coreProperties>
</file>